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Q63" i="1" l="1"/>
  <c r="CP63" i="1"/>
  <c r="CN63" i="1"/>
  <c r="CQ60" i="1"/>
  <c r="CP60" i="1"/>
  <c r="CN60" i="1"/>
  <c r="CQ57" i="1"/>
  <c r="CP57" i="1"/>
  <c r="CN57" i="1"/>
  <c r="CQ54" i="1"/>
  <c r="CP54" i="1"/>
  <c r="CN54" i="1"/>
  <c r="CQ52" i="1"/>
  <c r="CP52" i="1"/>
  <c r="CN52" i="1"/>
  <c r="CQ51" i="1"/>
  <c r="CP51" i="1"/>
  <c r="CN51" i="1"/>
  <c r="CQ49" i="1"/>
  <c r="CP49" i="1"/>
  <c r="CN49" i="1"/>
  <c r="CQ48" i="1"/>
  <c r="CP48" i="1"/>
  <c r="CN48" i="1"/>
  <c r="CQ46" i="1"/>
  <c r="CQ43" i="1"/>
  <c r="CP43" i="1"/>
  <c r="CN43" i="1"/>
  <c r="CN41" i="1"/>
  <c r="CQ41" i="1"/>
  <c r="CP41" i="1"/>
  <c r="CQ36" i="1"/>
  <c r="CP36" i="1"/>
  <c r="CN36" i="1"/>
  <c r="CQ34" i="1"/>
  <c r="CP34" i="1"/>
  <c r="CN34" i="1"/>
  <c r="CQ32" i="1"/>
  <c r="CP32" i="1"/>
  <c r="CN32" i="1"/>
  <c r="CQ68" i="1"/>
  <c r="CQ153" i="1" s="1"/>
  <c r="CP68" i="1"/>
  <c r="CP153" i="1" s="1"/>
  <c r="CN68" i="1"/>
  <c r="CN153" i="1" s="1"/>
  <c r="CQ139" i="1"/>
  <c r="CP139" i="1"/>
  <c r="CN139" i="1"/>
  <c r="CN136" i="1"/>
  <c r="CQ133" i="1"/>
  <c r="CP133" i="1"/>
  <c r="CN133" i="1"/>
  <c r="CQ132" i="1"/>
  <c r="CP132" i="1"/>
  <c r="CN132" i="1"/>
  <c r="CQ129" i="1"/>
  <c r="CP129" i="1"/>
  <c r="CN129" i="1"/>
  <c r="CQ128" i="1"/>
  <c r="CP128" i="1"/>
  <c r="CN128" i="1"/>
  <c r="CQ124" i="1"/>
  <c r="CP124" i="1"/>
  <c r="CN124" i="1"/>
  <c r="CQ122" i="1"/>
  <c r="CP122" i="1"/>
  <c r="CQ121" i="1"/>
  <c r="CP121" i="1"/>
  <c r="CN121" i="1"/>
  <c r="CQ118" i="1"/>
  <c r="CP118" i="1"/>
  <c r="CN118" i="1"/>
  <c r="CQ115" i="1"/>
  <c r="CP115" i="1"/>
  <c r="CN115" i="1"/>
  <c r="CQ112" i="1"/>
  <c r="CP112" i="1"/>
  <c r="CN112" i="1"/>
  <c r="CQ109" i="1"/>
  <c r="CP109" i="1"/>
  <c r="CN109" i="1"/>
  <c r="CQ104" i="1"/>
  <c r="CP104" i="1"/>
  <c r="CN104" i="1"/>
  <c r="CN102" i="1"/>
  <c r="CQ98" i="1"/>
  <c r="CP98" i="1"/>
  <c r="CN98" i="1"/>
  <c r="CQ95" i="1"/>
  <c r="CP95" i="1"/>
  <c r="CN95" i="1"/>
  <c r="CQ92" i="1"/>
  <c r="CP92" i="1"/>
  <c r="CN92" i="1"/>
  <c r="CQ89" i="1"/>
  <c r="CP89" i="1"/>
  <c r="CN89" i="1"/>
  <c r="CQ87" i="1"/>
  <c r="CP87" i="1"/>
  <c r="CN87" i="1"/>
  <c r="CQ83" i="1"/>
  <c r="CP83" i="1"/>
  <c r="CN83" i="1"/>
  <c r="CQ81" i="1"/>
  <c r="CP81" i="1"/>
  <c r="CO81" i="1"/>
  <c r="CN81" i="1"/>
  <c r="CQ80" i="1"/>
  <c r="CP80" i="1"/>
  <c r="CN80" i="1"/>
  <c r="CQ78" i="1"/>
  <c r="CP78" i="1"/>
  <c r="CN78" i="1"/>
  <c r="CQ77" i="1"/>
  <c r="CP77" i="1"/>
  <c r="CN77" i="1"/>
  <c r="CQ74" i="1"/>
  <c r="CP74" i="1"/>
  <c r="CN74" i="1"/>
  <c r="CQ72" i="1"/>
  <c r="CP72" i="1"/>
  <c r="CN72" i="1"/>
  <c r="CQ151" i="1"/>
  <c r="CP151" i="1"/>
  <c r="CN151" i="1"/>
  <c r="CQ143" i="1"/>
  <c r="CP143" i="1"/>
  <c r="CQ150" i="1"/>
  <c r="CP150" i="1"/>
  <c r="CO150" i="1"/>
  <c r="CQ137" i="1"/>
  <c r="CQ130" i="1"/>
  <c r="CP130" i="1"/>
  <c r="CN130" i="1"/>
  <c r="CQ120" i="1"/>
  <c r="CP120" i="1"/>
  <c r="CN120" i="1"/>
  <c r="CQ114" i="1"/>
  <c r="CP114" i="1"/>
  <c r="CN114" i="1"/>
  <c r="CQ111" i="1"/>
  <c r="CP111" i="1"/>
  <c r="CN111" i="1"/>
  <c r="CO111" i="1"/>
  <c r="CQ108" i="1"/>
  <c r="CP108" i="1"/>
  <c r="CN108" i="1"/>
  <c r="CQ97" i="1"/>
  <c r="CP97" i="1"/>
  <c r="CN97" i="1"/>
  <c r="CQ94" i="1"/>
  <c r="CQ88" i="1"/>
  <c r="CP88" i="1"/>
  <c r="CN88" i="1"/>
  <c r="CQ79" i="1"/>
  <c r="CQ73" i="1"/>
  <c r="CP73" i="1"/>
  <c r="CN73" i="1"/>
  <c r="CQ59" i="1"/>
  <c r="CP59" i="1"/>
  <c r="CN59" i="1"/>
  <c r="CQ56" i="1"/>
  <c r="CP56" i="1"/>
  <c r="CN56" i="1"/>
  <c r="CQ53" i="1"/>
  <c r="CQ50" i="1"/>
  <c r="CQ42" i="1"/>
  <c r="CP42" i="1"/>
  <c r="CN42" i="1"/>
  <c r="CQ31" i="1" l="1"/>
  <c r="CP31" i="1"/>
  <c r="CN31" i="1"/>
  <c r="CQ30" i="1"/>
  <c r="CP30" i="1"/>
  <c r="CN30" i="1"/>
  <c r="CQ21" i="1"/>
  <c r="CP21" i="1"/>
  <c r="CN21" i="1"/>
  <c r="CQ20" i="1"/>
  <c r="CP20" i="1"/>
  <c r="CN20" i="1"/>
  <c r="CQ17" i="1"/>
  <c r="CP17" i="1"/>
  <c r="CN17" i="1"/>
  <c r="CQ16" i="1"/>
  <c r="CP16" i="1"/>
  <c r="CQ14" i="1"/>
  <c r="CP14" i="1"/>
  <c r="CN14" i="1"/>
  <c r="CQ13" i="1"/>
  <c r="CP13" i="1"/>
  <c r="CN13" i="1"/>
  <c r="CQ29" i="1"/>
  <c r="CP29" i="1"/>
  <c r="CN29" i="1"/>
  <c r="CN28" i="1"/>
  <c r="CQ27" i="1"/>
  <c r="CP27" i="1"/>
  <c r="CN27" i="1"/>
  <c r="CQ26" i="1"/>
  <c r="CP26" i="1"/>
  <c r="CN26" i="1"/>
  <c r="CQ18" i="1"/>
  <c r="CP18" i="1"/>
  <c r="CO18" i="1"/>
  <c r="CQ15" i="1"/>
  <c r="CP15" i="1"/>
  <c r="CQ12" i="1"/>
  <c r="CP12" i="1"/>
  <c r="CN12" i="1"/>
  <c r="CQ9" i="1"/>
  <c r="CP9" i="1"/>
  <c r="CN9" i="1"/>
  <c r="CQ8" i="1"/>
  <c r="CP8" i="1"/>
  <c r="CN8" i="1"/>
  <c r="CQ6" i="1"/>
  <c r="CP6" i="1"/>
  <c r="CN6" i="1"/>
  <c r="CO6" i="1"/>
  <c r="CO130" i="1" l="1"/>
  <c r="CM130" i="1"/>
  <c r="CJ130" i="1"/>
  <c r="CM120" i="1"/>
  <c r="CM111" i="1"/>
  <c r="CJ111" i="1"/>
  <c r="CO108" i="1"/>
  <c r="CM108" i="1"/>
  <c r="CJ108" i="1"/>
  <c r="CJ98" i="1"/>
  <c r="CO97" i="1"/>
  <c r="CM97" i="1"/>
  <c r="CJ97" i="1"/>
  <c r="CO88" i="1"/>
  <c r="CO59" i="1"/>
  <c r="CM59" i="1"/>
  <c r="CJ59" i="1"/>
  <c r="CO30" i="1"/>
  <c r="CM30" i="1"/>
  <c r="CJ30" i="1"/>
  <c r="CO87" i="1"/>
  <c r="CM87" i="1"/>
  <c r="CJ87" i="1"/>
  <c r="CO49" i="1"/>
  <c r="BP151" i="1" l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K151" i="1"/>
  <c r="CL151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K139" i="1"/>
  <c r="CL139" i="1"/>
  <c r="BP68" i="1"/>
  <c r="BQ68" i="1"/>
  <c r="BQ153" i="1" s="1"/>
  <c r="BR68" i="1"/>
  <c r="BS68" i="1"/>
  <c r="BS153" i="1" s="1"/>
  <c r="BT68" i="1"/>
  <c r="BU68" i="1"/>
  <c r="BU153" i="1" s="1"/>
  <c r="BV68" i="1"/>
  <c r="BW68" i="1"/>
  <c r="BW153" i="1" s="1"/>
  <c r="BX68" i="1"/>
  <c r="BY68" i="1"/>
  <c r="BY153" i="1" s="1"/>
  <c r="BZ68" i="1"/>
  <c r="CA68" i="1"/>
  <c r="CA153" i="1" s="1"/>
  <c r="CB68" i="1"/>
  <c r="CC68" i="1"/>
  <c r="CC153" i="1" s="1"/>
  <c r="CD68" i="1"/>
  <c r="CE68" i="1"/>
  <c r="CE153" i="1" s="1"/>
  <c r="CF68" i="1"/>
  <c r="CG68" i="1"/>
  <c r="CG153" i="1" s="1"/>
  <c r="CH68" i="1"/>
  <c r="CI68" i="1"/>
  <c r="CI153" i="1" s="1"/>
  <c r="CK68" i="1"/>
  <c r="CL68" i="1"/>
  <c r="CL153" i="1" s="1"/>
  <c r="CK153" i="1" l="1"/>
  <c r="CH153" i="1"/>
  <c r="CF153" i="1"/>
  <c r="CD153" i="1"/>
  <c r="CB153" i="1"/>
  <c r="BZ153" i="1"/>
  <c r="BX153" i="1"/>
  <c r="BV153" i="1"/>
  <c r="BT153" i="1"/>
  <c r="BR153" i="1"/>
  <c r="BP153" i="1"/>
  <c r="CM150" i="1"/>
  <c r="CJ144" i="1"/>
  <c r="CJ151" i="1" s="1"/>
  <c r="CO143" i="1"/>
  <c r="CM143" i="1"/>
  <c r="CM151" i="1" s="1"/>
  <c r="CO98" i="1"/>
  <c r="CM98" i="1"/>
  <c r="CM129" i="1"/>
  <c r="CO151" i="1" l="1"/>
  <c r="CO137" i="1"/>
  <c r="CM133" i="1"/>
  <c r="CJ133" i="1"/>
  <c r="CO132" i="1"/>
  <c r="CO133" i="1" s="1"/>
  <c r="CM132" i="1"/>
  <c r="CO129" i="1"/>
  <c r="CJ129" i="1"/>
  <c r="CO128" i="1"/>
  <c r="CM128" i="1"/>
  <c r="CJ128" i="1"/>
  <c r="CO124" i="1"/>
  <c r="CM124" i="1"/>
  <c r="CJ124" i="1"/>
  <c r="CO121" i="1"/>
  <c r="CM121" i="1"/>
  <c r="CO120" i="1"/>
  <c r="CJ120" i="1"/>
  <c r="CJ121" i="1" s="1"/>
  <c r="CO118" i="1"/>
  <c r="CM118" i="1"/>
  <c r="CJ118" i="1"/>
  <c r="CO115" i="1"/>
  <c r="CJ115" i="1"/>
  <c r="CO114" i="1"/>
  <c r="CM114" i="1"/>
  <c r="CM115" i="1" s="1"/>
  <c r="CJ114" i="1"/>
  <c r="CO112" i="1"/>
  <c r="CM112" i="1"/>
  <c r="CJ112" i="1"/>
  <c r="CO109" i="1"/>
  <c r="CM109" i="1"/>
  <c r="CJ109" i="1"/>
  <c r="CO104" i="1" l="1"/>
  <c r="CM104" i="1"/>
  <c r="CJ104" i="1"/>
  <c r="CO95" i="1"/>
  <c r="CM95" i="1"/>
  <c r="CJ95" i="1"/>
  <c r="CO92" i="1"/>
  <c r="CM92" i="1"/>
  <c r="CJ92" i="1"/>
  <c r="CO89" i="1"/>
  <c r="CM83" i="1"/>
  <c r="CJ83" i="1"/>
  <c r="CO83" i="1"/>
  <c r="CM81" i="1"/>
  <c r="CO80" i="1"/>
  <c r="CJ80" i="1"/>
  <c r="CO78" i="1"/>
  <c r="CM78" i="1"/>
  <c r="CM80" i="1" s="1"/>
  <c r="CJ78" i="1"/>
  <c r="CO77" i="1"/>
  <c r="CM77" i="1"/>
  <c r="CJ77" i="1"/>
  <c r="CO72" i="1"/>
  <c r="CO74" i="1" s="1"/>
  <c r="CO139" i="1" s="1"/>
  <c r="CM72" i="1"/>
  <c r="CJ72" i="1"/>
  <c r="CJ74" i="1" s="1"/>
  <c r="CM88" i="1"/>
  <c r="CM89" i="1" s="1"/>
  <c r="CJ88" i="1"/>
  <c r="CJ89" i="1" s="1"/>
  <c r="CO73" i="1"/>
  <c r="CM73" i="1"/>
  <c r="CM74" i="1" s="1"/>
  <c r="CJ73" i="1"/>
  <c r="CO63" i="1"/>
  <c r="CM63" i="1"/>
  <c r="CJ63" i="1"/>
  <c r="CO60" i="1"/>
  <c r="CM60" i="1"/>
  <c r="CJ60" i="1"/>
  <c r="CO57" i="1"/>
  <c r="CJ57" i="1"/>
  <c r="CO56" i="1"/>
  <c r="CM56" i="1"/>
  <c r="CM57" i="1" s="1"/>
  <c r="CJ56" i="1"/>
  <c r="CO53" i="1"/>
  <c r="CJ53" i="1"/>
  <c r="CJ54" i="1" s="1"/>
  <c r="CO52" i="1"/>
  <c r="CO54" i="1" s="1"/>
  <c r="CM52" i="1"/>
  <c r="CM54" i="1" s="1"/>
  <c r="CJ52" i="1"/>
  <c r="CO51" i="1"/>
  <c r="CJ51" i="1"/>
  <c r="CO50" i="1"/>
  <c r="CM49" i="1"/>
  <c r="CM51" i="1" s="1"/>
  <c r="CJ49" i="1"/>
  <c r="CO48" i="1"/>
  <c r="CM48" i="1"/>
  <c r="CJ48" i="1"/>
  <c r="CO46" i="1"/>
  <c r="CO43" i="1"/>
  <c r="CJ43" i="1"/>
  <c r="CO42" i="1"/>
  <c r="CM42" i="1"/>
  <c r="CO41" i="1"/>
  <c r="CM41" i="1"/>
  <c r="CM43" i="1" s="1"/>
  <c r="CJ41" i="1"/>
  <c r="CO36" i="1"/>
  <c r="CM36" i="1"/>
  <c r="CJ36" i="1"/>
  <c r="CO32" i="1"/>
  <c r="CO34" i="1" s="1"/>
  <c r="CM32" i="1"/>
  <c r="CM34" i="1" s="1"/>
  <c r="CJ32" i="1"/>
  <c r="CJ34" i="1" s="1"/>
  <c r="CJ29" i="1"/>
  <c r="CJ31" i="1" s="1"/>
  <c r="CO27" i="1"/>
  <c r="CM27" i="1"/>
  <c r="CO26" i="1"/>
  <c r="CO29" i="1" s="1"/>
  <c r="CO31" i="1" s="1"/>
  <c r="CM26" i="1"/>
  <c r="CM29" i="1" s="1"/>
  <c r="CM31" i="1" s="1"/>
  <c r="CJ26" i="1"/>
  <c r="CM20" i="1"/>
  <c r="CO20" i="1"/>
  <c r="CJ18" i="1"/>
  <c r="CJ20" i="1" s="1"/>
  <c r="CJ17" i="1"/>
  <c r="CO16" i="1"/>
  <c r="CM16" i="1"/>
  <c r="CJ16" i="1"/>
  <c r="CO15" i="1"/>
  <c r="CO17" i="1" s="1"/>
  <c r="CM15" i="1"/>
  <c r="CM17" i="1" s="1"/>
  <c r="CO13" i="1"/>
  <c r="CM13" i="1"/>
  <c r="CJ13" i="1"/>
  <c r="CO9" i="1"/>
  <c r="CM9" i="1"/>
  <c r="CO8" i="1"/>
  <c r="CO12" i="1" s="1"/>
  <c r="CO14" i="1" s="1"/>
  <c r="CM8" i="1"/>
  <c r="CJ8" i="1"/>
  <c r="CJ12" i="1" s="1"/>
  <c r="CJ14" i="1" s="1"/>
  <c r="CJ21" i="1" s="1"/>
  <c r="CM6" i="1"/>
  <c r="CM12" i="1" s="1"/>
  <c r="CM14" i="1" s="1"/>
  <c r="CM21" i="1" s="1"/>
  <c r="CJ6" i="1"/>
  <c r="CO21" i="1" l="1"/>
  <c r="CM139" i="1"/>
  <c r="CJ139" i="1"/>
  <c r="CJ68" i="1"/>
  <c r="CJ153" i="1" s="1"/>
  <c r="CO68" i="1"/>
  <c r="CO153" i="1" s="1"/>
  <c r="CM68" i="1"/>
  <c r="CM153" i="1" s="1"/>
</calcChain>
</file>

<file path=xl/sharedStrings.xml><?xml version="1.0" encoding="utf-8"?>
<sst xmlns="http://schemas.openxmlformats.org/spreadsheetml/2006/main" count="295" uniqueCount="204">
  <si>
    <t>Scheduled Caste Sub-Plan/ SC-SP (Minor Head-789)</t>
  </si>
  <si>
    <t>Modified Budget - 2019-20</t>
  </si>
  <si>
    <t>2007-08 AE</t>
  </si>
  <si>
    <t>2008-09 AE</t>
  </si>
  <si>
    <t>2009-10 AE</t>
  </si>
  <si>
    <t>2010-11 AE</t>
  </si>
  <si>
    <t>2011-12 RE</t>
  </si>
  <si>
    <t>2011-12 AE</t>
  </si>
  <si>
    <t>2012-13 BE</t>
  </si>
  <si>
    <t>2012-13 RE</t>
  </si>
  <si>
    <t>2012-13 AE</t>
  </si>
  <si>
    <t>2013-14 BE</t>
  </si>
  <si>
    <t>2013-14 RE</t>
  </si>
  <si>
    <t>2013-14 AE</t>
  </si>
  <si>
    <t>Interim 2014-15 BE</t>
  </si>
  <si>
    <t>Modified 2014-15 BE</t>
  </si>
  <si>
    <t>2014-15 RE</t>
  </si>
  <si>
    <t xml:space="preserve"> 2014-15 AE</t>
  </si>
  <si>
    <t>2015-16 BE</t>
  </si>
  <si>
    <t>2015-16 RE</t>
  </si>
  <si>
    <t>2015-16 AE</t>
  </si>
  <si>
    <t>2016-17 BE</t>
  </si>
  <si>
    <t>2016-17 RE</t>
  </si>
  <si>
    <t>2016-17 AE</t>
  </si>
  <si>
    <t>2017-18 BE</t>
  </si>
  <si>
    <t>2017-18 RE</t>
  </si>
  <si>
    <t>2017-18 AE</t>
  </si>
  <si>
    <t>2018-19 BE</t>
  </si>
  <si>
    <t>2018-19 RE</t>
  </si>
  <si>
    <t>2018-19 AE</t>
  </si>
  <si>
    <t>2019-20 BE</t>
  </si>
  <si>
    <t>2019-20 RE</t>
  </si>
  <si>
    <t>2019-20 AE</t>
  </si>
  <si>
    <t>2020-21 BE</t>
  </si>
  <si>
    <t>2020-21 RE</t>
  </si>
  <si>
    <t>2020-21 AE</t>
  </si>
  <si>
    <t>2021-22 BE</t>
  </si>
  <si>
    <t>2021-22 RE</t>
  </si>
  <si>
    <t>2021-22 AE</t>
  </si>
  <si>
    <t>2022-23 BE</t>
  </si>
  <si>
    <t>2022-23 RE</t>
  </si>
  <si>
    <t>2022-23 AE</t>
  </si>
  <si>
    <t>2023-24 BE</t>
  </si>
  <si>
    <t>2023-24 RE</t>
  </si>
  <si>
    <t>2024-25 BE</t>
  </si>
  <si>
    <t xml:space="preserve"> Plan Expenditure </t>
  </si>
  <si>
    <t>SCSP</t>
  </si>
  <si>
    <t>% of SCSP in  Plan Expenditure</t>
  </si>
  <si>
    <t>SCSP(Modified)</t>
  </si>
  <si>
    <t>Social Services</t>
  </si>
  <si>
    <t>General Education - Revenue Expenditure</t>
  </si>
  <si>
    <t xml:space="preserve"> Primary Education</t>
  </si>
  <si>
    <t xml:space="preserve"> Secondry Education</t>
  </si>
  <si>
    <t xml:space="preserve"> University and Higher Education</t>
  </si>
  <si>
    <t xml:space="preserve"> Adult Education</t>
  </si>
  <si>
    <t xml:space="preserve"> Development of Language</t>
  </si>
  <si>
    <t xml:space="preserve"> General</t>
  </si>
  <si>
    <t>Total of General Education - Revenue Education (2202)</t>
  </si>
  <si>
    <t>General Education - Capital Expenditure (4202)</t>
  </si>
  <si>
    <t>Total General Education  Expenditure</t>
  </si>
  <si>
    <t>Technical Education - Revenue Expenditure (2203)</t>
  </si>
  <si>
    <t>Technical Education - Capital Expenditure (4202)</t>
  </si>
  <si>
    <t>Total Technical Education Expenditure</t>
  </si>
  <si>
    <t>Art and Culture - Revenue Expenditure (2205)</t>
  </si>
  <si>
    <t>Art and Culture - Capital Expenditure (4202)</t>
  </si>
  <si>
    <t>Total Art and Culture Expenditure</t>
  </si>
  <si>
    <t>1. Total General Education</t>
  </si>
  <si>
    <t>Medical and Public Health - Revenue Expenditure (2210)</t>
  </si>
  <si>
    <t>Urban Health Services</t>
  </si>
  <si>
    <t>Urban Health Services other Medical Therapies</t>
  </si>
  <si>
    <t>Rural Health Services-Allopathy</t>
  </si>
  <si>
    <t>Rural Health Services-Other Medical Therapies</t>
  </si>
  <si>
    <t>Medical Education, Training and Research</t>
  </si>
  <si>
    <t>Public Health</t>
  </si>
  <si>
    <t>Total of Medical and Public Health- Revenue Expenditure (2210)</t>
  </si>
  <si>
    <t>Medical and Public Health - Capital Expenditure (4210)</t>
  </si>
  <si>
    <t>2. Total Medical and Public Health Expenditure</t>
  </si>
  <si>
    <t>Family Welfare - Revenue Expenditure (2211)</t>
  </si>
  <si>
    <t>Family Welfare - Capital Expenditure (4211)</t>
  </si>
  <si>
    <t>3. Total Family Welfare Expenditure</t>
  </si>
  <si>
    <t>Welfare of SC, ST and OBC - Revenue Expenditure</t>
  </si>
  <si>
    <t xml:space="preserve"> Welfare of SC</t>
  </si>
  <si>
    <t xml:space="preserve"> Welfare of ST</t>
  </si>
  <si>
    <t>Welfare of OBCs</t>
  </si>
  <si>
    <t>Minorities</t>
  </si>
  <si>
    <t>Total of Welfare of SC, ST and OBC - Revenue Expenditure (2225)</t>
  </si>
  <si>
    <t>Welfare of SC, ST and OBC - Capital Expenditure (4225)</t>
  </si>
  <si>
    <t>4. Total Welfare of SC, ST and OBC Expenditure</t>
  </si>
  <si>
    <t>Labour and Employment - Revenue Expenditure (2230)</t>
  </si>
  <si>
    <t>Labour</t>
  </si>
  <si>
    <t>Emploment Services</t>
  </si>
  <si>
    <t>5. Total Revenue Expenditure on Labour and Emplyment</t>
  </si>
  <si>
    <t>Social Security Welfare - Revenue Expenditure (2235)</t>
  </si>
  <si>
    <t>Social Security Welfare - Capital Expenditure (4235)</t>
  </si>
  <si>
    <t>6. Total Social Security Expenditure</t>
  </si>
  <si>
    <t>Nutrition - Revenue Expenditure (2236)</t>
  </si>
  <si>
    <t>Nutrition - Capital Expenditure (4236)</t>
  </si>
  <si>
    <t>7. Total Nutrition Expenditure</t>
  </si>
  <si>
    <t>Water Supply and Sanitation - Revenue Expenditure (2215)</t>
  </si>
  <si>
    <t>Water Supply and Sanitation - Capital Expenditure (4215)</t>
  </si>
  <si>
    <t>8. Total Water Supply and Sanitation  Expenditure</t>
  </si>
  <si>
    <t>Urban Development - Revenue Expenditure (2217)</t>
  </si>
  <si>
    <t>Urban Development - Capital Expenditure (4217)</t>
  </si>
  <si>
    <t>9. Total Urban Development  Expenditure</t>
  </si>
  <si>
    <t>Youth and Sports Service Revenue (2204)</t>
  </si>
  <si>
    <t>Youth and Sports Service Capital (4202)</t>
  </si>
  <si>
    <t>10. Total Youth and Sports Services</t>
  </si>
  <si>
    <t>11. Other Social Servieces Capital (2250)</t>
  </si>
  <si>
    <t>12. Other Social Servieces Capital (4250)</t>
  </si>
  <si>
    <t>13. Information and Publicity (2220) *</t>
  </si>
  <si>
    <t>13. Information and Publicity (4220) *</t>
  </si>
  <si>
    <t>Total Social Services</t>
  </si>
  <si>
    <t>Economic Services</t>
  </si>
  <si>
    <t>Crop Husbandry - Revenue Expenditure (2401)</t>
  </si>
  <si>
    <t>Crop Husbandry - Capital Expenditure (4401)</t>
  </si>
  <si>
    <t>12. Total Crop Husbandry Expenditure</t>
  </si>
  <si>
    <t>Soil and Water Conservation- Revenue Expenditure (2402)</t>
  </si>
  <si>
    <t>Soil and Water Conservation - Capital Expenditure (4402)</t>
  </si>
  <si>
    <t>13.Total Soil and Water Conservation Expenditure</t>
  </si>
  <si>
    <t>Animal Husbandry - Revenue Expenditure (2403)</t>
  </si>
  <si>
    <t>Animal Husbandry - Capital Expenditure (4403)</t>
  </si>
  <si>
    <t>14. Total Animal Husbandry Expenditure</t>
  </si>
  <si>
    <t>Fisheries - Revenue Expenditure (2405)</t>
  </si>
  <si>
    <t>Fisheries - capital Expenditure (4405)</t>
  </si>
  <si>
    <t>15. Total Fisheries Expenditure</t>
  </si>
  <si>
    <t>Forestry and Wild Life</t>
  </si>
  <si>
    <t xml:space="preserve">01 Forestry </t>
  </si>
  <si>
    <t>Environmental Forestry and Wild Life</t>
  </si>
  <si>
    <t>Total Forestry and Wild Life Revenue Expenditure (2406)</t>
  </si>
  <si>
    <t>Forestry and Wild Life Capital Expenditure (4406)</t>
  </si>
  <si>
    <t>16. Total Forestry and Wild Life Expenditure</t>
  </si>
  <si>
    <t>Co-operative - Revenue Expenditure (2425)</t>
  </si>
  <si>
    <t>Co-operative - Capital Expenditure (4425)</t>
  </si>
  <si>
    <t>17. Total of Co-operative</t>
  </si>
  <si>
    <t>Other Rural Development Programmes - Revenue Expenditure (2515)</t>
  </si>
  <si>
    <t>Other Rural Development Programmes - Capital Expenditure (4515)</t>
  </si>
  <si>
    <t>18. Total Other Rural Development Programmes Expenditure</t>
  </si>
  <si>
    <t>Other Sepcial Area Programmes -  Revenue Expenditure (2575)</t>
  </si>
  <si>
    <t>Other Sepcial Area Programmes - Capital Expenditure (4575)</t>
  </si>
  <si>
    <t>20. Special Programme for Rural Development-  Revenue Expenditure (2501)</t>
  </si>
  <si>
    <t>21. Rural Employment - Revenue Expenditure (2505)</t>
  </si>
  <si>
    <t>22. Petrolium (2802)</t>
  </si>
  <si>
    <t>Rural and Small Industries Revenue Expenditure (2851)</t>
  </si>
  <si>
    <t>Rural and Small Industries Capital Expenditure (4851)</t>
  </si>
  <si>
    <t>23. Total Revenue + Capital Expenditure of Rural and Small Industries</t>
  </si>
  <si>
    <t>24. Industries Revenue Expenditure (2852)</t>
  </si>
  <si>
    <t>25. Census Survey and Statistics -  Revenue Expenditure (3454)</t>
  </si>
  <si>
    <t>Major Irrigation - Revenue Expenditure (2700)</t>
  </si>
  <si>
    <t>Major Irrigation - Capital Expenditure (4700)</t>
  </si>
  <si>
    <t>26. Total Major Irrigation</t>
  </si>
  <si>
    <t>Medium Irrigation - Revenue Expenditure (2701)</t>
  </si>
  <si>
    <t>Medium Irrigation - Capital Expenditure (4701)</t>
  </si>
  <si>
    <t>27. Total Medium Irrigation</t>
  </si>
  <si>
    <t>Minor Irrigation Revenue Expenditure (2702)</t>
  </si>
  <si>
    <t>Minor Irrigation Capital Expenditure (4702)</t>
  </si>
  <si>
    <t>28. Total Minor Irrigation</t>
  </si>
  <si>
    <t>Non - ferric and Metallurgy - Revenue Expenditure (2853)</t>
  </si>
  <si>
    <t>Non  - ferric and Metallurgy - Capital Expenditure (4853)</t>
  </si>
  <si>
    <t>29. Total Non - ferric and Metallurgy</t>
  </si>
  <si>
    <t>Command Area Development Revenue (2705)</t>
  </si>
  <si>
    <t>Command Area Development Capital  (4705)</t>
  </si>
  <si>
    <t xml:space="preserve">30. Total Command Area Development  </t>
  </si>
  <si>
    <t>Power Department Revenue (2801)</t>
  </si>
  <si>
    <t>Power Department  Capital (4801)</t>
  </si>
  <si>
    <t xml:space="preserve">31. Total Power </t>
  </si>
  <si>
    <t>21. Secretariat- Economic Services Revenue (3451)</t>
  </si>
  <si>
    <t>Other General Economic Services Revenue (3475)</t>
  </si>
  <si>
    <t>Other General Economic Services Capital  (5475)</t>
  </si>
  <si>
    <t>33. Total General Economic Services</t>
  </si>
  <si>
    <t>34. Civic Supplies Revenue  (3456)</t>
  </si>
  <si>
    <t>35. Roads and Bridges Capital (5054)</t>
  </si>
  <si>
    <t>Tourism Revenue (3452)</t>
  </si>
  <si>
    <t>Tourism Capital  (5452)</t>
  </si>
  <si>
    <t xml:space="preserve">36. Total Torism Expenditure </t>
  </si>
  <si>
    <t xml:space="preserve">37. Flood Control Project Capital (4711) </t>
  </si>
  <si>
    <t>38. Road Transport Capital (3055) *</t>
  </si>
  <si>
    <t>39. Other Scientific Research (3425 *)</t>
  </si>
  <si>
    <t>40. Industries and Minerals Capital 4885 *</t>
  </si>
  <si>
    <t>41 New and Renewable Energy(2810)</t>
  </si>
  <si>
    <t xml:space="preserve">Total Economic Services </t>
  </si>
  <si>
    <t xml:space="preserve">General Services </t>
  </si>
  <si>
    <t>42. Justice Administration Revenue (2014)</t>
  </si>
  <si>
    <t>43. Land Revenue  (2029 )</t>
  </si>
  <si>
    <t>44. Tax on Sales and Trade (2040)</t>
  </si>
  <si>
    <t>Police Revenue (2055)</t>
  </si>
  <si>
    <t>41. Police Capital (4055)</t>
  </si>
  <si>
    <t>44. Jail Revenue (2056)</t>
  </si>
  <si>
    <t>41. Public Works Revenue (2059)</t>
  </si>
  <si>
    <t>41. Public Works Capital (4059)</t>
  </si>
  <si>
    <t>Total General Services</t>
  </si>
  <si>
    <t>Source : Rajasthan Budget Books, Finance Department of Rajasthan</t>
  </si>
  <si>
    <r>
      <rPr>
        <b/>
        <sz val="12"/>
        <rFont val="DevLys 010"/>
      </rPr>
      <t>uksV%</t>
    </r>
    <r>
      <rPr>
        <sz val="12"/>
        <rFont val="DevLys 010"/>
      </rPr>
      <t xml:space="preserve"> o"kZ 2017&amp;18 ls ctV esa ;kstuk o xSj&amp;;kstuk [kpZ dks lekIr fd;s tkus ds dkj.k vuqlwfpr tkfr mi;kstuk gsrq vkoafVr ctV dk jkT; ,oa foHkkxksa ds ;kstukxr ctV ds lanHkZ esa vkadyu ugha fd;k tk ldrk gSA vr% o"kZ 2017&amp;18 ls bl mi;kstuk gsrq dqy vkoaVu dh x.kuk fofHkUu foHkkxksa@eq[; f’k"kksZa ds varxZr mi;kstukvksa gsrq fu/kkZfjr y?kq ’kh"kksZa ds varxZr ctV vkoaVu dks tksM+dj dh xbZ gSA</t>
    </r>
  </si>
  <si>
    <t>SCSP(Interim))</t>
  </si>
  <si>
    <t>ALLOCATION TO SCSP IN THE STATE BUDGET</t>
  </si>
  <si>
    <t>Budget for Scheduled Caste Sub Plan (SCSP) under Minor Head-789 (Rs. Crores)</t>
  </si>
  <si>
    <t>AE 2023-24</t>
  </si>
  <si>
    <t>RE 2024-25</t>
  </si>
  <si>
    <t>BE 2025-26</t>
  </si>
  <si>
    <t>19. Total Other Sepcial Area Programmes Expenditure (4575)</t>
  </si>
  <si>
    <t>45. Tax on Vehicles/Van (2041)</t>
  </si>
  <si>
    <t>AE 2024-25</t>
  </si>
  <si>
    <t>2025-26 RE</t>
  </si>
  <si>
    <t>2026-27 BE</t>
  </si>
  <si>
    <t>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</si>
</sst>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evLys 010"/>
    </font>
    <font>
      <b/>
      <sz val="12"/>
      <name val="DevLys 010"/>
    </font>
    <font>
      <sz val="12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4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14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3" tint="0.59999389629810485"/>
      <name val="Calibri"/>
      <family val="2"/>
      <scheme val="minor"/>
    </font>
    <font>
      <sz val="12"/>
      <color theme="3" tint="0.5999938962981048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1" fillId="0" borderId="0" xfId="1"/>
    <xf numFmtId="0" fontId="5" fillId="0" borderId="1" xfId="1" applyFont="1" applyFill="1" applyBorder="1" applyAlignment="1"/>
    <xf numFmtId="0" fontId="6" fillId="2" borderId="1" xfId="1" applyFont="1" applyFill="1" applyBorder="1"/>
    <xf numFmtId="0" fontId="6" fillId="0" borderId="0" xfId="1" applyFont="1"/>
    <xf numFmtId="0" fontId="6" fillId="0" borderId="0" xfId="1" applyFont="1" applyBorder="1"/>
    <xf numFmtId="0" fontId="6" fillId="0" borderId="1" xfId="1" applyFont="1" applyBorder="1"/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vertical="center" wrapText="1"/>
    </xf>
    <xf numFmtId="0" fontId="8" fillId="0" borderId="1" xfId="1" applyFont="1" applyBorder="1"/>
    <xf numFmtId="0" fontId="9" fillId="0" borderId="1" xfId="1" applyFont="1" applyBorder="1" applyAlignment="1">
      <alignment horizontal="left"/>
    </xf>
    <xf numFmtId="2" fontId="9" fillId="0" borderId="1" xfId="1" applyNumberFormat="1" applyFont="1" applyBorder="1"/>
    <xf numFmtId="0" fontId="9" fillId="0" borderId="1" xfId="1" applyFont="1" applyBorder="1"/>
    <xf numFmtId="0" fontId="9" fillId="0" borderId="0" xfId="1" applyFont="1"/>
    <xf numFmtId="2" fontId="8" fillId="0" borderId="1" xfId="1" applyNumberFormat="1" applyFont="1" applyBorder="1"/>
    <xf numFmtId="0" fontId="9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2" fontId="10" fillId="0" borderId="1" xfId="1" applyNumberFormat="1" applyFont="1" applyBorder="1"/>
    <xf numFmtId="0" fontId="5" fillId="0" borderId="1" xfId="1" applyFont="1" applyBorder="1" applyAlignment="1">
      <alignment vertical="center" wrapText="1"/>
    </xf>
    <xf numFmtId="2" fontId="5" fillId="0" borderId="1" xfId="1" applyNumberFormat="1" applyFont="1" applyBorder="1"/>
    <xf numFmtId="0" fontId="5" fillId="0" borderId="1" xfId="1" applyFont="1" applyBorder="1"/>
    <xf numFmtId="0" fontId="11" fillId="0" borderId="1" xfId="1" applyFont="1" applyBorder="1" applyAlignment="1">
      <alignment vertical="center" wrapText="1"/>
    </xf>
    <xf numFmtId="2" fontId="11" fillId="0" borderId="1" xfId="1" applyNumberFormat="1" applyFont="1" applyBorder="1"/>
    <xf numFmtId="2" fontId="12" fillId="0" borderId="1" xfId="1" applyNumberFormat="1" applyFont="1" applyBorder="1"/>
    <xf numFmtId="2" fontId="6" fillId="0" borderId="1" xfId="1" applyNumberFormat="1" applyFont="1" applyBorder="1"/>
    <xf numFmtId="0" fontId="13" fillId="0" borderId="1" xfId="1" applyFont="1" applyBorder="1"/>
    <xf numFmtId="2" fontId="13" fillId="0" borderId="1" xfId="1" applyNumberFormat="1" applyFont="1" applyBorder="1"/>
    <xf numFmtId="0" fontId="6" fillId="0" borderId="1" xfId="1" applyFont="1" applyBorder="1" applyAlignment="1">
      <alignment horizontal="left"/>
    </xf>
    <xf numFmtId="0" fontId="7" fillId="0" borderId="1" xfId="1" applyFont="1" applyFill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9" fillId="0" borderId="1" xfId="1" applyFont="1" applyFill="1" applyBorder="1"/>
    <xf numFmtId="0" fontId="5" fillId="0" borderId="1" xfId="1" applyFont="1" applyFill="1" applyBorder="1"/>
    <xf numFmtId="0" fontId="13" fillId="0" borderId="1" xfId="1" applyFont="1" applyFill="1" applyBorder="1"/>
    <xf numFmtId="0" fontId="7" fillId="0" borderId="1" xfId="1" applyFont="1" applyFill="1" applyBorder="1"/>
    <xf numFmtId="2" fontId="7" fillId="0" borderId="1" xfId="1" applyNumberFormat="1" applyFont="1" applyBorder="1"/>
    <xf numFmtId="0" fontId="7" fillId="0" borderId="1" xfId="1" applyFont="1" applyBorder="1"/>
    <xf numFmtId="0" fontId="6" fillId="0" borderId="1" xfId="1" applyFont="1" applyFill="1" applyBorder="1"/>
    <xf numFmtId="0" fontId="14" fillId="0" borderId="1" xfId="1" applyFont="1" applyFill="1" applyBorder="1"/>
    <xf numFmtId="2" fontId="14" fillId="0" borderId="1" xfId="1" applyNumberFormat="1" applyFont="1" applyBorder="1"/>
    <xf numFmtId="0" fontId="8" fillId="0" borderId="0" xfId="1" applyFont="1" applyFill="1"/>
    <xf numFmtId="0" fontId="7" fillId="0" borderId="0" xfId="1" applyFont="1" applyBorder="1" applyAlignment="1">
      <alignment horizontal="left"/>
    </xf>
    <xf numFmtId="0" fontId="15" fillId="0" borderId="0" xfId="1" applyFont="1"/>
    <xf numFmtId="0" fontId="12" fillId="0" borderId="1" xfId="1" applyFont="1" applyBorder="1"/>
    <xf numFmtId="0" fontId="12" fillId="0" borderId="1" xfId="1" applyFont="1" applyBorder="1" applyAlignment="1">
      <alignment vertical="center" wrapText="1"/>
    </xf>
    <xf numFmtId="0" fontId="16" fillId="0" borderId="1" xfId="1" applyFont="1" applyBorder="1" applyAlignment="1">
      <alignment horizontal="left"/>
    </xf>
    <xf numFmtId="2" fontId="16" fillId="0" borderId="1" xfId="1" applyNumberFormat="1" applyFont="1" applyBorder="1"/>
    <xf numFmtId="0" fontId="16" fillId="0" borderId="1" xfId="1" applyFont="1" applyBorder="1"/>
    <xf numFmtId="0" fontId="8" fillId="0" borderId="1" xfId="1" applyFont="1" applyBorder="1" applyAlignment="1">
      <alignment vertical="center" wrapText="1"/>
    </xf>
    <xf numFmtId="2" fontId="9" fillId="0" borderId="1" xfId="1" applyNumberFormat="1" applyFont="1" applyBorder="1" applyAlignment="1">
      <alignment horizontal="center"/>
    </xf>
    <xf numFmtId="2" fontId="9" fillId="0" borderId="1" xfId="1" applyNumberFormat="1" applyFont="1" applyBorder="1" applyAlignment="1">
      <alignment vertical="center" wrapText="1"/>
    </xf>
    <xf numFmtId="2" fontId="9" fillId="0" borderId="1" xfId="1" applyNumberFormat="1" applyFont="1" applyFill="1" applyBorder="1"/>
    <xf numFmtId="2" fontId="9" fillId="0" borderId="1" xfId="1" applyNumberFormat="1" applyFont="1" applyBorder="1" applyAlignment="1">
      <alignment horizontal="right"/>
    </xf>
    <xf numFmtId="0" fontId="8" fillId="3" borderId="1" xfId="1" applyFont="1" applyFill="1" applyBorder="1"/>
    <xf numFmtId="2" fontId="12" fillId="3" borderId="1" xfId="1" applyNumberFormat="1" applyFont="1" applyFill="1" applyBorder="1"/>
    <xf numFmtId="2" fontId="8" fillId="3" borderId="1" xfId="1" applyNumberFormat="1" applyFont="1" applyFill="1" applyBorder="1"/>
    <xf numFmtId="2" fontId="9" fillId="3" borderId="1" xfId="1" applyNumberFormat="1" applyFont="1" applyFill="1" applyBorder="1"/>
    <xf numFmtId="0" fontId="9" fillId="3" borderId="1" xfId="1" applyFont="1" applyFill="1" applyBorder="1"/>
    <xf numFmtId="2" fontId="5" fillId="3" borderId="1" xfId="1" applyNumberFormat="1" applyFont="1" applyFill="1" applyBorder="1"/>
    <xf numFmtId="2" fontId="9" fillId="3" borderId="1" xfId="1" applyNumberFormat="1" applyFont="1" applyFill="1" applyBorder="1" applyAlignment="1">
      <alignment vertical="center" wrapText="1"/>
    </xf>
    <xf numFmtId="2" fontId="9" fillId="3" borderId="1" xfId="1" applyNumberFormat="1" applyFont="1" applyFill="1" applyBorder="1" applyAlignment="1">
      <alignment horizontal="right"/>
    </xf>
    <xf numFmtId="0" fontId="9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" fontId="5" fillId="0" borderId="1" xfId="1" applyNumberFormat="1" applyFont="1" applyFill="1" applyBorder="1"/>
    <xf numFmtId="0" fontId="9" fillId="0" borderId="1" xfId="1" applyFont="1" applyFill="1" applyBorder="1" applyAlignment="1">
      <alignment horizontal="left"/>
    </xf>
    <xf numFmtId="2" fontId="9" fillId="0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/>
    </xf>
    <xf numFmtId="2" fontId="16" fillId="3" borderId="1" xfId="1" applyNumberFormat="1" applyFont="1" applyFill="1" applyBorder="1"/>
    <xf numFmtId="2" fontId="17" fillId="0" borderId="1" xfId="1" applyNumberFormat="1" applyFont="1" applyBorder="1"/>
    <xf numFmtId="2" fontId="17" fillId="3" borderId="1" xfId="1" applyNumberFormat="1" applyFont="1" applyFill="1" applyBorder="1"/>
    <xf numFmtId="0" fontId="17" fillId="0" borderId="1" xfId="1" applyFont="1" applyBorder="1"/>
    <xf numFmtId="0" fontId="6" fillId="0" borderId="2" xfId="1" applyFont="1" applyBorder="1"/>
    <xf numFmtId="0" fontId="17" fillId="0" borderId="1" xfId="1" applyFont="1" applyBorder="1" applyAlignment="1">
      <alignment horizontal="center" vertical="center" wrapText="1"/>
    </xf>
    <xf numFmtId="0" fontId="8" fillId="0" borderId="2" xfId="1" applyFont="1" applyBorder="1"/>
    <xf numFmtId="2" fontId="10" fillId="3" borderId="1" xfId="1" applyNumberFormat="1" applyFont="1" applyFill="1" applyBorder="1"/>
    <xf numFmtId="2" fontId="6" fillId="3" borderId="1" xfId="1" applyNumberFormat="1" applyFont="1" applyFill="1" applyBorder="1"/>
    <xf numFmtId="2" fontId="12" fillId="0" borderId="2" xfId="1" applyNumberFormat="1" applyFont="1" applyBorder="1"/>
    <xf numFmtId="0" fontId="11" fillId="0" borderId="1" xfId="1" applyFont="1" applyBorder="1"/>
    <xf numFmtId="2" fontId="11" fillId="0" borderId="2" xfId="1" applyNumberFormat="1" applyFont="1" applyBorder="1"/>
    <xf numFmtId="2" fontId="6" fillId="0" borderId="2" xfId="1" applyNumberFormat="1" applyFont="1" applyBorder="1"/>
    <xf numFmtId="2" fontId="9" fillId="0" borderId="2" xfId="1" applyNumberFormat="1" applyFont="1" applyBorder="1"/>
    <xf numFmtId="2" fontId="16" fillId="0" borderId="1" xfId="1" applyNumberFormat="1" applyFont="1" applyBorder="1" applyAlignment="1">
      <alignment horizontal="right"/>
    </xf>
    <xf numFmtId="0" fontId="6" fillId="0" borderId="3" xfId="1" applyFont="1" applyBorder="1"/>
    <xf numFmtId="2" fontId="9" fillId="0" borderId="0" xfId="1" applyNumberFormat="1" applyFont="1"/>
    <xf numFmtId="0" fontId="10" fillId="0" borderId="1" xfId="1" applyFont="1" applyBorder="1"/>
    <xf numFmtId="0" fontId="12" fillId="0" borderId="2" xfId="1" applyFont="1" applyBorder="1"/>
    <xf numFmtId="2" fontId="9" fillId="3" borderId="2" xfId="1" applyNumberFormat="1" applyFont="1" applyFill="1" applyBorder="1"/>
    <xf numFmtId="2" fontId="5" fillId="3" borderId="2" xfId="1" applyNumberFormat="1" applyFont="1" applyFill="1" applyBorder="1"/>
    <xf numFmtId="2" fontId="5" fillId="0" borderId="2" xfId="1" applyNumberFormat="1" applyFont="1" applyBorder="1"/>
    <xf numFmtId="0" fontId="11" fillId="0" borderId="2" xfId="1" applyFont="1" applyBorder="1"/>
    <xf numFmtId="2" fontId="8" fillId="0" borderId="2" xfId="1" applyNumberFormat="1" applyFont="1" applyBorder="1"/>
    <xf numFmtId="2" fontId="17" fillId="0" borderId="2" xfId="1" applyNumberFormat="1" applyFont="1" applyBorder="1"/>
    <xf numFmtId="2" fontId="17" fillId="3" borderId="2" xfId="1" applyNumberFormat="1" applyFont="1" applyFill="1" applyBorder="1"/>
    <xf numFmtId="2" fontId="12" fillId="3" borderId="2" xfId="1" applyNumberFormat="1" applyFont="1" applyFill="1" applyBorder="1"/>
    <xf numFmtId="2" fontId="9" fillId="0" borderId="2" xfId="1" applyNumberFormat="1" applyFont="1" applyFill="1" applyBorder="1"/>
    <xf numFmtId="2" fontId="5" fillId="0" borderId="2" xfId="1" applyNumberFormat="1" applyFont="1" applyFill="1" applyBorder="1"/>
    <xf numFmtId="0" fontId="5" fillId="0" borderId="2" xfId="1" applyFont="1" applyBorder="1"/>
    <xf numFmtId="0" fontId="9" fillId="0" borderId="2" xfId="1" applyFont="1" applyBorder="1"/>
    <xf numFmtId="0" fontId="16" fillId="0" borderId="2" xfId="1" applyFont="1" applyBorder="1"/>
    <xf numFmtId="2" fontId="16" fillId="0" borderId="2" xfId="1" applyNumberFormat="1" applyFont="1" applyBorder="1"/>
    <xf numFmtId="0" fontId="9" fillId="0" borderId="2" xfId="1" applyFont="1" applyFill="1" applyBorder="1"/>
    <xf numFmtId="43" fontId="9" fillId="0" borderId="2" xfId="2" applyFont="1" applyBorder="1"/>
    <xf numFmtId="0" fontId="7" fillId="0" borderId="2" xfId="1" applyFont="1" applyBorder="1"/>
    <xf numFmtId="164" fontId="5" fillId="0" borderId="2" xfId="1" applyNumberFormat="1" applyFont="1" applyBorder="1"/>
    <xf numFmtId="0" fontId="8" fillId="0" borderId="3" xfId="1" applyFont="1" applyBorder="1"/>
    <xf numFmtId="2" fontId="12" fillId="0" borderId="3" xfId="1" applyNumberFormat="1" applyFont="1" applyBorder="1"/>
    <xf numFmtId="0" fontId="12" fillId="0" borderId="3" xfId="1" applyFont="1" applyBorder="1"/>
    <xf numFmtId="2" fontId="9" fillId="3" borderId="3" xfId="1" applyNumberFormat="1" applyFont="1" applyFill="1" applyBorder="1"/>
    <xf numFmtId="2" fontId="9" fillId="0" borderId="3" xfId="1" applyNumberFormat="1" applyFont="1" applyBorder="1"/>
    <xf numFmtId="2" fontId="5" fillId="3" borderId="3" xfId="1" applyNumberFormat="1" applyFont="1" applyFill="1" applyBorder="1"/>
    <xf numFmtId="2" fontId="5" fillId="0" borderId="3" xfId="1" applyNumberFormat="1" applyFont="1" applyBorder="1"/>
    <xf numFmtId="0" fontId="11" fillId="0" borderId="3" xfId="1" applyFont="1" applyBorder="1"/>
    <xf numFmtId="2" fontId="8" fillId="0" borderId="3" xfId="1" applyNumberFormat="1" applyFont="1" applyBorder="1"/>
    <xf numFmtId="2" fontId="17" fillId="0" borderId="3" xfId="1" applyNumberFormat="1" applyFont="1" applyBorder="1"/>
    <xf numFmtId="2" fontId="17" fillId="3" borderId="3" xfId="1" applyNumberFormat="1" applyFont="1" applyFill="1" applyBorder="1"/>
    <xf numFmtId="2" fontId="9" fillId="0" borderId="3" xfId="1" applyNumberFormat="1" applyFont="1" applyFill="1" applyBorder="1"/>
    <xf numFmtId="2" fontId="5" fillId="0" borderId="3" xfId="1" applyNumberFormat="1" applyFont="1" applyFill="1" applyBorder="1"/>
    <xf numFmtId="0" fontId="5" fillId="0" borderId="3" xfId="1" applyFont="1" applyBorder="1"/>
    <xf numFmtId="0" fontId="9" fillId="0" borderId="3" xfId="1" applyFont="1" applyBorder="1"/>
    <xf numFmtId="0" fontId="16" fillId="0" borderId="3" xfId="1" applyFont="1" applyBorder="1"/>
    <xf numFmtId="2" fontId="16" fillId="0" borderId="3" xfId="1" applyNumberFormat="1" applyFont="1" applyBorder="1"/>
    <xf numFmtId="0" fontId="9" fillId="0" borderId="3" xfId="1" applyFont="1" applyFill="1" applyBorder="1"/>
    <xf numFmtId="43" fontId="9" fillId="0" borderId="3" xfId="2" applyFont="1" applyBorder="1"/>
    <xf numFmtId="0" fontId="7" fillId="0" borderId="3" xfId="1" applyFont="1" applyBorder="1"/>
    <xf numFmtId="0" fontId="1" fillId="0" borderId="1" xfId="1" applyBorder="1"/>
    <xf numFmtId="0" fontId="12" fillId="0" borderId="1" xfId="1" applyFont="1" applyBorder="1" applyAlignment="1">
      <alignment horizontal="left"/>
    </xf>
    <xf numFmtId="164" fontId="9" fillId="0" borderId="1" xfId="1" applyNumberFormat="1" applyFont="1" applyBorder="1"/>
    <xf numFmtId="0" fontId="6" fillId="0" borderId="2" xfId="1" applyFont="1" applyBorder="1" applyAlignment="1">
      <alignment horizontal="center"/>
    </xf>
    <xf numFmtId="0" fontId="17" fillId="0" borderId="2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left"/>
    </xf>
    <xf numFmtId="0" fontId="8" fillId="0" borderId="1" xfId="1" applyFont="1" applyBorder="1" applyAlignment="1">
      <alignment horizontal="center" wrapText="1"/>
    </xf>
    <xf numFmtId="0" fontId="8" fillId="0" borderId="2" xfId="1" applyFont="1" applyBorder="1" applyAlignment="1">
      <alignment horizontal="center" wrapText="1"/>
    </xf>
    <xf numFmtId="0" fontId="12" fillId="0" borderId="1" xfId="1" applyFont="1" applyBorder="1" applyAlignment="1">
      <alignment horizontal="center" wrapText="1"/>
    </xf>
    <xf numFmtId="0" fontId="4" fillId="0" borderId="1" xfId="1" applyFont="1" applyBorder="1"/>
    <xf numFmtId="2" fontId="14" fillId="4" borderId="1" xfId="1" applyNumberFormat="1" applyFont="1" applyFill="1" applyBorder="1"/>
    <xf numFmtId="0" fontId="4" fillId="0" borderId="1" xfId="1" applyFont="1" applyBorder="1" applyAlignment="1">
      <alignment horizontal="center"/>
    </xf>
    <xf numFmtId="0" fontId="19" fillId="0" borderId="1" xfId="1" applyFont="1" applyBorder="1" applyAlignment="1">
      <alignment vertical="center" wrapText="1"/>
    </xf>
    <xf numFmtId="2" fontId="19" fillId="0" borderId="1" xfId="1" applyNumberFormat="1" applyFont="1" applyBorder="1"/>
    <xf numFmtId="2" fontId="20" fillId="0" borderId="1" xfId="1" applyNumberFormat="1" applyFont="1" applyBorder="1"/>
    <xf numFmtId="2" fontId="19" fillId="3" borderId="1" xfId="1" applyNumberFormat="1" applyFont="1" applyFill="1" applyBorder="1"/>
    <xf numFmtId="164" fontId="19" fillId="0" borderId="1" xfId="1" applyNumberFormat="1" applyFont="1" applyBorder="1"/>
    <xf numFmtId="2" fontId="19" fillId="0" borderId="2" xfId="1" applyNumberFormat="1" applyFont="1" applyBorder="1"/>
    <xf numFmtId="0" fontId="19" fillId="0" borderId="1" xfId="1" applyFont="1" applyBorder="1"/>
    <xf numFmtId="0" fontId="6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1" xfId="1" applyFont="1" applyFill="1" applyBorder="1"/>
    <xf numFmtId="0" fontId="2" fillId="4" borderId="1" xfId="1" applyFont="1" applyFill="1" applyBorder="1" applyAlignment="1">
      <alignment wrapText="1"/>
    </xf>
    <xf numFmtId="2" fontId="12" fillId="0" borderId="2" xfId="1" applyNumberFormat="1" applyFont="1" applyFill="1" applyBorder="1"/>
    <xf numFmtId="2" fontId="7" fillId="0" borderId="2" xfId="1" applyNumberFormat="1" applyFont="1" applyBorder="1"/>
    <xf numFmtId="0" fontId="2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right"/>
    </xf>
    <xf numFmtId="2" fontId="13" fillId="0" borderId="2" xfId="0" applyNumberFormat="1" applyFont="1" applyBorder="1"/>
    <xf numFmtId="0" fontId="5" fillId="2" borderId="1" xfId="1" applyFont="1" applyFill="1" applyBorder="1"/>
    <xf numFmtId="0" fontId="5" fillId="3" borderId="2" xfId="1" applyFont="1" applyFill="1" applyBorder="1"/>
    <xf numFmtId="0" fontId="0" fillId="3" borderId="0" xfId="0" applyFill="1"/>
    <xf numFmtId="2" fontId="1" fillId="0" borderId="0" xfId="1" applyNumberFormat="1"/>
    <xf numFmtId="0" fontId="5" fillId="0" borderId="1" xfId="0" applyFont="1" applyFill="1" applyBorder="1"/>
    <xf numFmtId="0" fontId="21" fillId="0" borderId="0" xfId="0" applyFont="1"/>
    <xf numFmtId="0" fontId="0" fillId="0" borderId="0" xfId="0" applyFill="1"/>
    <xf numFmtId="0" fontId="5" fillId="0" borderId="2" xfId="1" applyFont="1" applyFill="1" applyBorder="1"/>
    <xf numFmtId="2" fontId="16" fillId="0" borderId="1" xfId="1" applyNumberFormat="1" applyFont="1" applyFill="1" applyBorder="1"/>
    <xf numFmtId="2" fontId="9" fillId="2" borderId="1" xfId="1" applyNumberFormat="1" applyFont="1" applyFill="1" applyBorder="1"/>
    <xf numFmtId="0" fontId="14" fillId="0" borderId="1" xfId="1" applyFont="1" applyBorder="1"/>
    <xf numFmtId="2" fontId="14" fillId="0" borderId="1" xfId="1" applyNumberFormat="1" applyFont="1" applyFill="1" applyBorder="1"/>
    <xf numFmtId="2" fontId="14" fillId="0" borderId="2" xfId="1" applyNumberFormat="1" applyFont="1" applyBorder="1"/>
    <xf numFmtId="0" fontId="6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/>
    </xf>
    <xf numFmtId="0" fontId="1" fillId="0" borderId="5" xfId="1" applyBorder="1"/>
    <xf numFmtId="0" fontId="0" fillId="0" borderId="1" xfId="0" applyBorder="1"/>
    <xf numFmtId="2" fontId="12" fillId="0" borderId="1" xfId="1" applyNumberFormat="1" applyFont="1" applyFill="1" applyBorder="1"/>
    <xf numFmtId="0" fontId="12" fillId="0" borderId="1" xfId="1" applyFont="1" applyFill="1" applyBorder="1"/>
    <xf numFmtId="2" fontId="6" fillId="0" borderId="6" xfId="1" applyNumberFormat="1" applyFont="1" applyBorder="1"/>
    <xf numFmtId="2" fontId="0" fillId="0" borderId="1" xfId="0" applyNumberFormat="1" applyBorder="1"/>
    <xf numFmtId="2" fontId="13" fillId="0" borderId="1" xfId="0" applyNumberFormat="1" applyFont="1" applyBorder="1"/>
    <xf numFmtId="2" fontId="1" fillId="0" borderId="1" xfId="1" applyNumberFormat="1" applyBorder="1"/>
    <xf numFmtId="0" fontId="21" fillId="0" borderId="1" xfId="0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1" xfId="1" applyNumberFormat="1" applyFont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491"/>
  <sheetViews>
    <sheetView tabSelected="1" zoomScale="115" zoomScaleNormal="115" workbookViewId="0">
      <pane xSplit="1" ySplit="3" topLeftCell="CJ136" activePane="bottomRight" state="frozen"/>
      <selection pane="topRight" activeCell="B1" sqref="B1"/>
      <selection pane="bottomLeft" activeCell="A4" sqref="A4"/>
      <selection pane="bottomRight" activeCell="CO155" sqref="CO155"/>
    </sheetView>
  </sheetViews>
  <sheetFormatPr defaultRowHeight="15" x14ac:dyDescent="0.25"/>
  <cols>
    <col min="1" max="1" width="83.28515625" customWidth="1"/>
    <col min="2" max="2" width="12" bestFit="1" customWidth="1"/>
    <col min="4" max="4" width="9" bestFit="1" customWidth="1"/>
    <col min="5" max="5" width="12" bestFit="1" customWidth="1"/>
    <col min="7" max="7" width="9" bestFit="1" customWidth="1"/>
    <col min="8" max="8" width="12" bestFit="1" customWidth="1"/>
    <col min="10" max="10" width="9" bestFit="1" customWidth="1"/>
    <col min="11" max="11" width="12" bestFit="1" customWidth="1"/>
    <col min="13" max="13" width="9" bestFit="1" customWidth="1"/>
    <col min="14" max="14" width="12" bestFit="1" customWidth="1"/>
    <col min="15" max="15" width="10.5703125" bestFit="1" customWidth="1"/>
    <col min="16" max="16" width="9" bestFit="1" customWidth="1"/>
    <col min="17" max="17" width="12" bestFit="1" customWidth="1"/>
    <col min="18" max="18" width="10.5703125" bestFit="1" customWidth="1"/>
    <col min="19" max="19" width="9" bestFit="1" customWidth="1"/>
    <col min="20" max="20" width="12" bestFit="1" customWidth="1"/>
    <col min="21" max="21" width="10.5703125" bestFit="1" customWidth="1"/>
    <col min="22" max="22" width="9" bestFit="1" customWidth="1"/>
    <col min="23" max="23" width="12.7109375" bestFit="1" customWidth="1"/>
    <col min="24" max="24" width="10.5703125" bestFit="1" customWidth="1"/>
    <col min="25" max="25" width="9" bestFit="1" customWidth="1"/>
    <col min="26" max="26" width="12" bestFit="1" customWidth="1"/>
    <col min="27" max="27" width="10.5703125" bestFit="1" customWidth="1"/>
    <col min="28" max="28" width="9" bestFit="1" customWidth="1"/>
    <col min="29" max="29" width="12.7109375" bestFit="1" customWidth="1"/>
    <col min="30" max="30" width="10.5703125" bestFit="1" customWidth="1"/>
    <col min="31" max="31" width="9" bestFit="1" customWidth="1"/>
    <col min="32" max="32" width="12" bestFit="1" customWidth="1"/>
    <col min="33" max="33" width="10.5703125" bestFit="1" customWidth="1"/>
    <col min="34" max="34" width="9" bestFit="1" customWidth="1"/>
    <col min="35" max="35" width="12" bestFit="1" customWidth="1"/>
    <col min="36" max="36" width="10.5703125" bestFit="1" customWidth="1"/>
    <col min="37" max="37" width="9" bestFit="1" customWidth="1"/>
    <col min="38" max="38" width="12.7109375" bestFit="1" customWidth="1"/>
    <col min="39" max="39" width="10.5703125" bestFit="1" customWidth="1"/>
    <col min="40" max="40" width="9" bestFit="1" customWidth="1"/>
    <col min="41" max="41" width="12" bestFit="1" customWidth="1"/>
    <col min="42" max="42" width="10.5703125" bestFit="1" customWidth="1"/>
    <col min="43" max="43" width="9" bestFit="1" customWidth="1"/>
    <col min="44" max="44" width="12" bestFit="1" customWidth="1"/>
    <col min="45" max="45" width="10.5703125" bestFit="1" customWidth="1"/>
    <col min="46" max="46" width="9" bestFit="1" customWidth="1"/>
    <col min="47" max="47" width="12" bestFit="1" customWidth="1"/>
    <col min="48" max="48" width="10.5703125" bestFit="1" customWidth="1"/>
    <col min="49" max="49" width="9" bestFit="1" customWidth="1"/>
    <col min="50" max="50" width="12" bestFit="1" customWidth="1"/>
    <col min="51" max="51" width="10.5703125" bestFit="1" customWidth="1"/>
    <col min="52" max="52" width="9" bestFit="1" customWidth="1"/>
    <col min="53" max="53" width="12" bestFit="1" customWidth="1"/>
    <col min="54" max="54" width="10.5703125" bestFit="1" customWidth="1"/>
    <col min="55" max="55" width="9" bestFit="1" customWidth="1"/>
    <col min="56" max="56" width="12" bestFit="1" customWidth="1"/>
    <col min="57" max="57" width="10.5703125" bestFit="1" customWidth="1"/>
    <col min="58" max="58" width="11.42578125" customWidth="1"/>
    <col min="59" max="59" width="12" bestFit="1" customWidth="1"/>
    <col min="60" max="60" width="10.5703125" bestFit="1" customWidth="1"/>
    <col min="61" max="61" width="9" bestFit="1" customWidth="1"/>
    <col min="62" max="62" width="12" bestFit="1" customWidth="1"/>
    <col min="63" max="63" width="10.5703125" bestFit="1" customWidth="1"/>
    <col min="64" max="64" width="9" bestFit="1" customWidth="1"/>
    <col min="65" max="65" width="12" bestFit="1" customWidth="1"/>
    <col min="66" max="66" width="10.5703125" bestFit="1" customWidth="1"/>
    <col min="67" max="67" width="9" bestFit="1" customWidth="1"/>
    <col min="68" max="68" width="12.28515625" customWidth="1"/>
    <col min="69" max="70" width="10.5703125" bestFit="1" customWidth="1"/>
    <col min="71" max="87" width="12" bestFit="1" customWidth="1"/>
    <col min="88" max="88" width="13.5703125" customWidth="1"/>
    <col min="89" max="89" width="14.7109375" bestFit="1" customWidth="1"/>
    <col min="90" max="90" width="15.85546875" bestFit="1" customWidth="1"/>
    <col min="91" max="92" width="14" customWidth="1"/>
    <col min="93" max="93" width="15.42578125" customWidth="1"/>
    <col min="94" max="94" width="15" customWidth="1"/>
    <col min="95" max="95" width="13.28515625" customWidth="1"/>
  </cols>
  <sheetData>
    <row r="1" spans="1:95" ht="32.25" customHeight="1" x14ac:dyDescent="0.25">
      <c r="A1" s="3" t="s">
        <v>194</v>
      </c>
      <c r="B1" s="190" t="s">
        <v>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89"/>
      <c r="O1" s="189"/>
      <c r="P1" s="189"/>
      <c r="Q1" s="186"/>
      <c r="R1" s="187"/>
      <c r="S1" s="188"/>
      <c r="T1" s="4"/>
      <c r="U1" s="4"/>
      <c r="V1" s="4"/>
      <c r="W1" s="186"/>
      <c r="X1" s="187"/>
      <c r="Y1" s="188"/>
      <c r="Z1" s="189"/>
      <c r="AA1" s="189"/>
      <c r="AB1" s="189"/>
      <c r="AC1" s="186"/>
      <c r="AD1" s="187"/>
      <c r="AE1" s="188"/>
      <c r="AF1" s="179"/>
      <c r="AG1" s="180"/>
      <c r="AH1" s="181"/>
      <c r="AI1" s="5"/>
      <c r="AJ1" s="5"/>
      <c r="AK1" s="5"/>
      <c r="AL1" s="179"/>
      <c r="AM1" s="180"/>
      <c r="AN1" s="181"/>
      <c r="AO1" s="179"/>
      <c r="AP1" s="180"/>
      <c r="AQ1" s="181"/>
      <c r="AR1" s="179"/>
      <c r="AS1" s="180"/>
      <c r="AT1" s="181"/>
      <c r="AU1" s="6"/>
      <c r="AV1" s="6"/>
      <c r="AW1" s="6"/>
      <c r="AX1" s="179"/>
      <c r="AY1" s="180"/>
      <c r="AZ1" s="181"/>
      <c r="BA1" s="6"/>
      <c r="BB1" s="6"/>
      <c r="BC1" s="6"/>
      <c r="BD1" s="6"/>
      <c r="BE1" s="6"/>
      <c r="BF1" s="72"/>
      <c r="BG1" s="6"/>
      <c r="BH1" s="6"/>
      <c r="BI1" s="6"/>
      <c r="BJ1" s="6"/>
      <c r="BK1" s="6"/>
      <c r="BL1" s="6"/>
      <c r="BM1" s="6"/>
      <c r="BN1" s="6"/>
      <c r="BO1" s="6"/>
      <c r="BP1" s="6"/>
      <c r="BQ1" s="4"/>
      <c r="BR1" s="189" t="s">
        <v>1</v>
      </c>
      <c r="BS1" s="189"/>
      <c r="BT1" s="189"/>
      <c r="BU1" s="189"/>
      <c r="BV1" s="6"/>
      <c r="BW1" s="72"/>
      <c r="BX1" s="6"/>
      <c r="BY1" s="83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</row>
    <row r="2" spans="1:95" ht="31.5" x14ac:dyDescent="0.25">
      <c r="A2" s="128"/>
      <c r="B2" s="187" t="s">
        <v>2</v>
      </c>
      <c r="C2" s="187"/>
      <c r="D2" s="188"/>
      <c r="E2" s="185" t="s">
        <v>3</v>
      </c>
      <c r="F2" s="185"/>
      <c r="G2" s="185"/>
      <c r="H2" s="191" t="s">
        <v>4</v>
      </c>
      <c r="I2" s="191"/>
      <c r="J2" s="191"/>
      <c r="K2" s="185" t="s">
        <v>5</v>
      </c>
      <c r="L2" s="185"/>
      <c r="M2" s="185"/>
      <c r="N2" s="185" t="s">
        <v>6</v>
      </c>
      <c r="O2" s="185"/>
      <c r="P2" s="185"/>
      <c r="Q2" s="182" t="s">
        <v>7</v>
      </c>
      <c r="R2" s="183"/>
      <c r="S2" s="184"/>
      <c r="T2" s="182" t="s">
        <v>8</v>
      </c>
      <c r="U2" s="183"/>
      <c r="V2" s="184"/>
      <c r="W2" s="182" t="s">
        <v>9</v>
      </c>
      <c r="X2" s="183"/>
      <c r="Y2" s="184"/>
      <c r="Z2" s="185" t="s">
        <v>10</v>
      </c>
      <c r="AA2" s="185"/>
      <c r="AB2" s="185"/>
      <c r="AC2" s="182" t="s">
        <v>11</v>
      </c>
      <c r="AD2" s="183"/>
      <c r="AE2" s="184"/>
      <c r="AF2" s="185" t="s">
        <v>12</v>
      </c>
      <c r="AG2" s="185"/>
      <c r="AH2" s="185"/>
      <c r="AI2" s="185" t="s">
        <v>13</v>
      </c>
      <c r="AJ2" s="185"/>
      <c r="AK2" s="185"/>
      <c r="AL2" s="185" t="s">
        <v>14</v>
      </c>
      <c r="AM2" s="185"/>
      <c r="AN2" s="185"/>
      <c r="AO2" s="185" t="s">
        <v>15</v>
      </c>
      <c r="AP2" s="185"/>
      <c r="AQ2" s="185"/>
      <c r="AR2" s="185" t="s">
        <v>16</v>
      </c>
      <c r="AS2" s="185"/>
      <c r="AT2" s="185"/>
      <c r="AU2" s="185" t="s">
        <v>17</v>
      </c>
      <c r="AV2" s="185"/>
      <c r="AW2" s="185"/>
      <c r="AX2" s="185" t="s">
        <v>18</v>
      </c>
      <c r="AY2" s="185"/>
      <c r="AZ2" s="185"/>
      <c r="BA2" s="185" t="s">
        <v>19</v>
      </c>
      <c r="BB2" s="185"/>
      <c r="BC2" s="185"/>
      <c r="BD2" s="185" t="s">
        <v>20</v>
      </c>
      <c r="BE2" s="185"/>
      <c r="BF2" s="182"/>
      <c r="BG2" s="185" t="s">
        <v>21</v>
      </c>
      <c r="BH2" s="185"/>
      <c r="BI2" s="185"/>
      <c r="BJ2" s="182" t="s">
        <v>22</v>
      </c>
      <c r="BK2" s="183"/>
      <c r="BL2" s="184"/>
      <c r="BM2" s="182" t="s">
        <v>23</v>
      </c>
      <c r="BN2" s="183"/>
      <c r="BO2" s="184"/>
      <c r="BP2" s="73" t="s">
        <v>24</v>
      </c>
      <c r="BQ2" s="73" t="s">
        <v>25</v>
      </c>
      <c r="BR2" s="73" t="s">
        <v>26</v>
      </c>
      <c r="BS2" s="73" t="s">
        <v>27</v>
      </c>
      <c r="BT2" s="73" t="s">
        <v>28</v>
      </c>
      <c r="BU2" s="73" t="s">
        <v>29</v>
      </c>
      <c r="BV2" s="73" t="s">
        <v>30</v>
      </c>
      <c r="BW2" s="129" t="s">
        <v>31</v>
      </c>
      <c r="BX2" s="73" t="s">
        <v>32</v>
      </c>
      <c r="BY2" s="73" t="s">
        <v>33</v>
      </c>
      <c r="BZ2" s="73" t="s">
        <v>34</v>
      </c>
      <c r="CA2" s="73" t="s">
        <v>35</v>
      </c>
      <c r="CB2" s="73" t="s">
        <v>36</v>
      </c>
      <c r="CC2" s="73" t="s">
        <v>37</v>
      </c>
      <c r="CD2" s="73" t="s">
        <v>38</v>
      </c>
      <c r="CE2" s="73" t="s">
        <v>39</v>
      </c>
      <c r="CF2" s="73" t="s">
        <v>40</v>
      </c>
      <c r="CG2" s="144" t="s">
        <v>41</v>
      </c>
      <c r="CH2" s="144" t="s">
        <v>42</v>
      </c>
      <c r="CI2" s="144" t="s">
        <v>43</v>
      </c>
      <c r="CJ2" s="150" t="s">
        <v>195</v>
      </c>
      <c r="CK2" s="144" t="s">
        <v>44</v>
      </c>
      <c r="CL2" s="144" t="s">
        <v>44</v>
      </c>
      <c r="CM2" s="166" t="s">
        <v>196</v>
      </c>
      <c r="CN2" s="167" t="s">
        <v>200</v>
      </c>
      <c r="CO2" s="166" t="s">
        <v>197</v>
      </c>
      <c r="CP2" s="168" t="s">
        <v>201</v>
      </c>
      <c r="CQ2" s="168" t="s">
        <v>202</v>
      </c>
    </row>
    <row r="3" spans="1:95" ht="42.75" customHeight="1" x14ac:dyDescent="0.25">
      <c r="A3" s="130"/>
      <c r="B3" s="131" t="s">
        <v>45</v>
      </c>
      <c r="C3" s="131" t="s">
        <v>46</v>
      </c>
      <c r="D3" s="131" t="s">
        <v>47</v>
      </c>
      <c r="E3" s="131" t="s">
        <v>45</v>
      </c>
      <c r="F3" s="131" t="s">
        <v>46</v>
      </c>
      <c r="G3" s="131" t="s">
        <v>47</v>
      </c>
      <c r="H3" s="131" t="s">
        <v>45</v>
      </c>
      <c r="I3" s="131" t="s">
        <v>46</v>
      </c>
      <c r="J3" s="131" t="s">
        <v>47</v>
      </c>
      <c r="K3" s="131" t="s">
        <v>45</v>
      </c>
      <c r="L3" s="131" t="s">
        <v>46</v>
      </c>
      <c r="M3" s="131" t="s">
        <v>47</v>
      </c>
      <c r="N3" s="131" t="s">
        <v>45</v>
      </c>
      <c r="O3" s="131" t="s">
        <v>46</v>
      </c>
      <c r="P3" s="131" t="s">
        <v>47</v>
      </c>
      <c r="Q3" s="131" t="s">
        <v>45</v>
      </c>
      <c r="R3" s="131" t="s">
        <v>46</v>
      </c>
      <c r="S3" s="131" t="s">
        <v>47</v>
      </c>
      <c r="T3" s="131" t="s">
        <v>45</v>
      </c>
      <c r="U3" s="131" t="s">
        <v>46</v>
      </c>
      <c r="V3" s="131" t="s">
        <v>47</v>
      </c>
      <c r="W3" s="131" t="s">
        <v>45</v>
      </c>
      <c r="X3" s="131" t="s">
        <v>46</v>
      </c>
      <c r="Y3" s="131" t="s">
        <v>47</v>
      </c>
      <c r="Z3" s="131" t="s">
        <v>45</v>
      </c>
      <c r="AA3" s="131" t="s">
        <v>46</v>
      </c>
      <c r="AB3" s="131" t="s">
        <v>47</v>
      </c>
      <c r="AC3" s="131" t="s">
        <v>45</v>
      </c>
      <c r="AD3" s="131" t="s">
        <v>46</v>
      </c>
      <c r="AE3" s="131" t="s">
        <v>47</v>
      </c>
      <c r="AF3" s="131" t="s">
        <v>45</v>
      </c>
      <c r="AG3" s="131" t="s">
        <v>46</v>
      </c>
      <c r="AH3" s="131" t="s">
        <v>47</v>
      </c>
      <c r="AI3" s="131" t="s">
        <v>45</v>
      </c>
      <c r="AJ3" s="131" t="s">
        <v>46</v>
      </c>
      <c r="AK3" s="131" t="s">
        <v>47</v>
      </c>
      <c r="AL3" s="131" t="s">
        <v>45</v>
      </c>
      <c r="AM3" s="131" t="s">
        <v>46</v>
      </c>
      <c r="AN3" s="131" t="s">
        <v>47</v>
      </c>
      <c r="AO3" s="131" t="s">
        <v>45</v>
      </c>
      <c r="AP3" s="131" t="s">
        <v>46</v>
      </c>
      <c r="AQ3" s="131" t="s">
        <v>47</v>
      </c>
      <c r="AR3" s="131" t="s">
        <v>45</v>
      </c>
      <c r="AS3" s="131" t="s">
        <v>46</v>
      </c>
      <c r="AT3" s="131" t="s">
        <v>47</v>
      </c>
      <c r="AU3" s="131" t="s">
        <v>45</v>
      </c>
      <c r="AV3" s="131" t="s">
        <v>46</v>
      </c>
      <c r="AW3" s="131" t="s">
        <v>47</v>
      </c>
      <c r="AX3" s="131" t="s">
        <v>45</v>
      </c>
      <c r="AY3" s="131" t="s">
        <v>46</v>
      </c>
      <c r="AZ3" s="131" t="s">
        <v>47</v>
      </c>
      <c r="BA3" s="131" t="s">
        <v>45</v>
      </c>
      <c r="BB3" s="131" t="s">
        <v>46</v>
      </c>
      <c r="BC3" s="131" t="s">
        <v>47</v>
      </c>
      <c r="BD3" s="131" t="s">
        <v>45</v>
      </c>
      <c r="BE3" s="131" t="s">
        <v>46</v>
      </c>
      <c r="BF3" s="132" t="s">
        <v>47</v>
      </c>
      <c r="BG3" s="131" t="s">
        <v>45</v>
      </c>
      <c r="BH3" s="131" t="s">
        <v>46</v>
      </c>
      <c r="BI3" s="131" t="s">
        <v>47</v>
      </c>
      <c r="BJ3" s="131" t="s">
        <v>45</v>
      </c>
      <c r="BK3" s="131" t="s">
        <v>46</v>
      </c>
      <c r="BL3" s="131" t="s">
        <v>47</v>
      </c>
      <c r="BM3" s="131" t="s">
        <v>45</v>
      </c>
      <c r="BN3" s="131" t="s">
        <v>46</v>
      </c>
      <c r="BO3" s="131" t="s">
        <v>47</v>
      </c>
      <c r="BP3" s="133" t="s">
        <v>46</v>
      </c>
      <c r="BQ3" s="133" t="s">
        <v>46</v>
      </c>
      <c r="BR3" s="133" t="s">
        <v>46</v>
      </c>
      <c r="BS3" s="133" t="s">
        <v>46</v>
      </c>
      <c r="BT3" s="133" t="s">
        <v>46</v>
      </c>
      <c r="BU3" s="133" t="s">
        <v>46</v>
      </c>
      <c r="BV3" s="133" t="s">
        <v>46</v>
      </c>
      <c r="BW3" s="134" t="s">
        <v>46</v>
      </c>
      <c r="BX3" s="134" t="s">
        <v>46</v>
      </c>
      <c r="BY3" s="134" t="s">
        <v>46</v>
      </c>
      <c r="BZ3" s="134" t="s">
        <v>46</v>
      </c>
      <c r="CA3" s="134" t="s">
        <v>46</v>
      </c>
      <c r="CB3" s="134" t="s">
        <v>46</v>
      </c>
      <c r="CC3" s="134" t="s">
        <v>46</v>
      </c>
      <c r="CD3" s="136" t="s">
        <v>46</v>
      </c>
      <c r="CE3" s="136" t="s">
        <v>46</v>
      </c>
      <c r="CF3" s="136" t="s">
        <v>46</v>
      </c>
      <c r="CG3" s="136" t="s">
        <v>46</v>
      </c>
      <c r="CH3" s="136" t="s">
        <v>46</v>
      </c>
      <c r="CI3" s="136" t="s">
        <v>46</v>
      </c>
      <c r="CJ3" s="136" t="s">
        <v>46</v>
      </c>
      <c r="CK3" s="136" t="s">
        <v>192</v>
      </c>
      <c r="CL3" s="136" t="s">
        <v>48</v>
      </c>
      <c r="CM3" s="136" t="s">
        <v>46</v>
      </c>
      <c r="CN3" s="169" t="s">
        <v>46</v>
      </c>
      <c r="CO3" s="136" t="s">
        <v>46</v>
      </c>
      <c r="CP3" s="169" t="s">
        <v>46</v>
      </c>
      <c r="CQ3" s="169" t="s">
        <v>46</v>
      </c>
    </row>
    <row r="4" spans="1:95" ht="32.25" customHeight="1" x14ac:dyDescent="0.25">
      <c r="A4" s="7" t="s">
        <v>49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72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21"/>
      <c r="BT4" s="6"/>
      <c r="BU4" s="6"/>
      <c r="BV4" s="6"/>
      <c r="BW4" s="72"/>
      <c r="BX4" s="6"/>
      <c r="BY4" s="83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171"/>
      <c r="CQ4" s="171"/>
    </row>
    <row r="5" spans="1:95" ht="15.75" x14ac:dyDescent="0.25">
      <c r="A5" s="9" t="s">
        <v>50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74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48"/>
      <c r="BT5" s="10"/>
      <c r="BU5" s="10"/>
      <c r="BV5" s="10"/>
      <c r="BW5" s="74"/>
      <c r="BX5" s="1"/>
      <c r="BY5" s="105"/>
      <c r="BZ5" s="1"/>
      <c r="CA5" s="1"/>
      <c r="CB5" s="1"/>
      <c r="CC5" s="1"/>
      <c r="CD5" s="1"/>
      <c r="CE5" s="1"/>
      <c r="CF5" s="125"/>
      <c r="CG5" s="125"/>
      <c r="CH5" s="125"/>
      <c r="CI5" s="125"/>
      <c r="CJ5" s="125"/>
      <c r="CK5" s="125"/>
      <c r="CL5" s="125"/>
      <c r="CM5" s="125"/>
      <c r="CN5" s="170"/>
      <c r="CO5" s="170"/>
      <c r="CP5" s="171"/>
      <c r="CQ5" s="171"/>
    </row>
    <row r="6" spans="1:95" ht="15.75" x14ac:dyDescent="0.25">
      <c r="A6" s="126" t="s">
        <v>51</v>
      </c>
      <c r="B6" s="69">
        <v>488.93060000000003</v>
      </c>
      <c r="C6" s="69">
        <v>0.2243</v>
      </c>
      <c r="D6" s="69">
        <v>4.5875631429082159E-2</v>
      </c>
      <c r="E6" s="69">
        <v>688.05240000000003</v>
      </c>
      <c r="F6" s="69">
        <v>0.15</v>
      </c>
      <c r="G6" s="69">
        <v>2.1800665181896026E-2</v>
      </c>
      <c r="H6" s="69">
        <v>750.86609999999996</v>
      </c>
      <c r="I6" s="69">
        <v>0.15</v>
      </c>
      <c r="J6" s="69">
        <v>1.9976930640496354E-2</v>
      </c>
      <c r="K6" s="69">
        <v>1249.7437</v>
      </c>
      <c r="L6" s="69">
        <v>0.15</v>
      </c>
      <c r="M6" s="69">
        <v>1.2002460984600283E-2</v>
      </c>
      <c r="N6" s="69">
        <v>1768.1886999999999</v>
      </c>
      <c r="O6" s="69">
        <v>0.92</v>
      </c>
      <c r="P6" s="69">
        <v>5.2030645824170239E-2</v>
      </c>
      <c r="Q6" s="69">
        <v>1758.6275000000001</v>
      </c>
      <c r="R6" s="69">
        <v>0.92</v>
      </c>
      <c r="S6" s="69">
        <v>5.2313522903514251E-2</v>
      </c>
      <c r="T6" s="69">
        <v>1689.9106999999999</v>
      </c>
      <c r="U6" s="69">
        <v>6.3659999999999997</v>
      </c>
      <c r="V6" s="69">
        <v>0.37670629578237474</v>
      </c>
      <c r="W6" s="69">
        <v>1737.8680999999999</v>
      </c>
      <c r="X6" s="69">
        <v>1.1950000000000001</v>
      </c>
      <c r="Y6" s="69">
        <v>6.8762410680074063E-2</v>
      </c>
      <c r="Z6" s="69">
        <v>1914.7996000000001</v>
      </c>
      <c r="AA6" s="69">
        <v>1.028</v>
      </c>
      <c r="AB6" s="69">
        <v>5.3687080360785532E-2</v>
      </c>
      <c r="AC6" s="69">
        <v>2202.6691000000001</v>
      </c>
      <c r="AD6" s="69">
        <v>20.629000000000001</v>
      </c>
      <c r="AE6" s="69">
        <v>0.93654557554741202</v>
      </c>
      <c r="AF6" s="69">
        <v>2041.2487000000001</v>
      </c>
      <c r="AG6" s="69">
        <v>61.427999999999997</v>
      </c>
      <c r="AH6" s="69">
        <v>3.0093344333789407</v>
      </c>
      <c r="AI6" s="69">
        <v>2005.2358000000002</v>
      </c>
      <c r="AJ6" s="69">
        <v>61.359099999999998</v>
      </c>
      <c r="AK6" s="69">
        <v>3.0599443716295105</v>
      </c>
      <c r="AL6" s="69">
        <v>3175.9126000000001</v>
      </c>
      <c r="AM6" s="69">
        <v>79.977900000000005</v>
      </c>
      <c r="AN6" s="69">
        <v>2.5182651436944457</v>
      </c>
      <c r="AO6" s="69">
        <v>4955.4125999999997</v>
      </c>
      <c r="AP6" s="69">
        <v>30.4161</v>
      </c>
      <c r="AQ6" s="69">
        <v>0.6137955091771774</v>
      </c>
      <c r="AR6" s="69">
        <v>4518.5950999999995</v>
      </c>
      <c r="AS6" s="69">
        <v>30.4161</v>
      </c>
      <c r="AT6" s="69">
        <v>0.67313178824099551</v>
      </c>
      <c r="AU6" s="69">
        <v>4396.9260000000004</v>
      </c>
      <c r="AV6" s="69">
        <v>29.060400000000001</v>
      </c>
      <c r="AW6" s="69">
        <v>0.66092538286975944</v>
      </c>
      <c r="AX6" s="69">
        <v>5700.6548000000003</v>
      </c>
      <c r="AY6" s="69">
        <v>73.166200000000003</v>
      </c>
      <c r="AZ6" s="69">
        <v>1.2834701024170065</v>
      </c>
      <c r="BA6" s="69">
        <v>4381.9447</v>
      </c>
      <c r="BB6" s="69">
        <v>35.122799999999998</v>
      </c>
      <c r="BC6" s="69">
        <v>0.80153453328610014</v>
      </c>
      <c r="BD6" s="69">
        <v>4335.8218999999999</v>
      </c>
      <c r="BE6" s="69">
        <v>28.309799999999999</v>
      </c>
      <c r="BF6" s="69">
        <v>0.65292811035434828</v>
      </c>
      <c r="BG6" s="69">
        <v>5797.0486000000001</v>
      </c>
      <c r="BH6" s="69">
        <v>242.4357</v>
      </c>
      <c r="BI6" s="69">
        <v>4.1820539506948409</v>
      </c>
      <c r="BJ6" s="69">
        <v>5693.1185999999998</v>
      </c>
      <c r="BK6" s="69">
        <v>230.4392</v>
      </c>
      <c r="BL6" s="69">
        <v>4.0476795969084503</v>
      </c>
      <c r="BM6" s="69">
        <v>5536.4813000000004</v>
      </c>
      <c r="BN6" s="69">
        <v>228.03360000000001</v>
      </c>
      <c r="BO6" s="69">
        <v>4.1187459623497684</v>
      </c>
      <c r="BP6" s="69">
        <v>242.43559999999999</v>
      </c>
      <c r="BQ6" s="69">
        <v>216.6961</v>
      </c>
      <c r="BR6" s="55">
        <v>212.46890000000002</v>
      </c>
      <c r="BS6" s="55">
        <v>361.26609999999999</v>
      </c>
      <c r="BT6" s="55">
        <v>308.14609999999999</v>
      </c>
      <c r="BU6" s="44">
        <v>289.63800000000003</v>
      </c>
      <c r="BV6" s="55">
        <v>395.1361</v>
      </c>
      <c r="BW6" s="77">
        <v>377.61759999999998</v>
      </c>
      <c r="BX6" s="24">
        <v>370.08440000000002</v>
      </c>
      <c r="BY6" s="106">
        <v>446.11759999999998</v>
      </c>
      <c r="BZ6" s="24">
        <v>322.09840000000003</v>
      </c>
      <c r="CA6" s="24">
        <v>306.98789999999997</v>
      </c>
      <c r="CB6" s="24">
        <v>415.13510000000002</v>
      </c>
      <c r="CC6" s="24">
        <v>419.96010000000001</v>
      </c>
      <c r="CD6" s="24">
        <v>254.31880000000001</v>
      </c>
      <c r="CE6" s="77">
        <v>384.81010000000003</v>
      </c>
      <c r="CF6" s="24">
        <v>534.79150000000004</v>
      </c>
      <c r="CG6" s="24">
        <v>307.15570000000002</v>
      </c>
      <c r="CH6" s="24">
        <v>610.91020000000003</v>
      </c>
      <c r="CI6" s="44">
        <v>728.23090000000002</v>
      </c>
      <c r="CJ6" s="44">
        <f>342.1767+100.4969</f>
        <v>442.67359999999996</v>
      </c>
      <c r="CK6" s="44">
        <v>699.86479999999995</v>
      </c>
      <c r="CL6" s="44">
        <v>776.65120000000002</v>
      </c>
      <c r="CM6" s="44">
        <f>448.7202+263.8105</f>
        <v>712.53070000000002</v>
      </c>
      <c r="CN6" s="24">
        <f>240.2454+158.1242</f>
        <v>398.36959999999999</v>
      </c>
      <c r="CO6" s="24">
        <f>470.2701+255.0501</f>
        <v>725.3202</v>
      </c>
      <c r="CP6" s="175">
        <f>446.4102+237.3802</f>
        <v>683.79039999999998</v>
      </c>
      <c r="CQ6" s="175">
        <f>516.8102+254.7802</f>
        <v>771.59040000000005</v>
      </c>
    </row>
    <row r="7" spans="1:95" ht="15.75" x14ac:dyDescent="0.25">
      <c r="A7" s="44" t="s">
        <v>52</v>
      </c>
      <c r="B7" s="24">
        <v>28.6357</v>
      </c>
      <c r="C7" s="24">
        <v>0.2321</v>
      </c>
      <c r="D7" s="24">
        <v>0.81052672014303817</v>
      </c>
      <c r="E7" s="24">
        <v>74.073300000000003</v>
      </c>
      <c r="F7" s="24">
        <v>8.4500000000000006E-2</v>
      </c>
      <c r="G7" s="24">
        <v>0.11407619209620741</v>
      </c>
      <c r="H7" s="24">
        <v>162.68170000000001</v>
      </c>
      <c r="I7" s="24">
        <v>7.46E-2</v>
      </c>
      <c r="J7" s="24">
        <v>4.5856417777783237E-2</v>
      </c>
      <c r="K7" s="24">
        <v>306.85149999999999</v>
      </c>
      <c r="L7" s="24">
        <v>0</v>
      </c>
      <c r="M7" s="24">
        <v>0</v>
      </c>
      <c r="N7" s="24">
        <v>735.40970000000004</v>
      </c>
      <c r="O7" s="24">
        <v>36.484999999999999</v>
      </c>
      <c r="P7" s="24">
        <v>4.9611801421710915</v>
      </c>
      <c r="Q7" s="24">
        <v>479.98860000000002</v>
      </c>
      <c r="R7" s="24">
        <v>5.8536999999999999</v>
      </c>
      <c r="S7" s="24">
        <v>1.2195497976410272</v>
      </c>
      <c r="T7" s="24">
        <v>815.09460000000001</v>
      </c>
      <c r="U7" s="24">
        <v>46.236600000000003</v>
      </c>
      <c r="V7" s="24">
        <v>5.6725440212706602</v>
      </c>
      <c r="W7" s="24">
        <v>697.85659999999996</v>
      </c>
      <c r="X7" s="24">
        <v>26.4237</v>
      </c>
      <c r="Y7" s="24">
        <v>3.7864082678303825</v>
      </c>
      <c r="Z7" s="24">
        <v>374.4366</v>
      </c>
      <c r="AA7" s="24">
        <v>25.9664</v>
      </c>
      <c r="AB7" s="24">
        <v>6.9347921650821531</v>
      </c>
      <c r="AC7" s="24">
        <v>1203.9717000000001</v>
      </c>
      <c r="AD7" s="24">
        <v>98.151600000000002</v>
      </c>
      <c r="AE7" s="24">
        <v>8.1523178659431945</v>
      </c>
      <c r="AF7" s="24">
        <v>1125.4460999999999</v>
      </c>
      <c r="AG7" s="24">
        <v>99.262799999999999</v>
      </c>
      <c r="AH7" s="24">
        <v>8.8198626304715972</v>
      </c>
      <c r="AI7" s="24">
        <v>986.12739999999997</v>
      </c>
      <c r="AJ7" s="24">
        <v>93.613200000000006</v>
      </c>
      <c r="AK7" s="24">
        <v>9.4930127689383745</v>
      </c>
      <c r="AL7" s="24">
        <v>1634.9367</v>
      </c>
      <c r="AM7" s="24">
        <v>201.34729999999999</v>
      </c>
      <c r="AN7" s="24">
        <v>12.315296365908234</v>
      </c>
      <c r="AO7" s="24">
        <v>2763.2977999999998</v>
      </c>
      <c r="AP7" s="24">
        <v>137.536</v>
      </c>
      <c r="AQ7" s="24">
        <v>4.9772413237545372</v>
      </c>
      <c r="AR7" s="24">
        <v>1892.2439999999999</v>
      </c>
      <c r="AS7" s="24">
        <v>124.8828</v>
      </c>
      <c r="AT7" s="24">
        <v>6.5997196978825139</v>
      </c>
      <c r="AU7" s="24">
        <v>1544.1185</v>
      </c>
      <c r="AV7" s="24">
        <v>107.15689999999999</v>
      </c>
      <c r="AW7" s="24">
        <v>6.9396811190332865</v>
      </c>
      <c r="AX7" s="24">
        <v>2784.1284000000001</v>
      </c>
      <c r="AY7" s="24">
        <v>202.40260000000001</v>
      </c>
      <c r="AZ7" s="24">
        <v>7.2698730417749404</v>
      </c>
      <c r="BA7" s="24">
        <v>3353.3036999999999</v>
      </c>
      <c r="BB7" s="24">
        <v>262.90629999999999</v>
      </c>
      <c r="BC7" s="24">
        <v>7.8402173951616723</v>
      </c>
      <c r="BD7" s="24">
        <v>3065.8281999999999</v>
      </c>
      <c r="BE7" s="24">
        <v>250.82089999999999</v>
      </c>
      <c r="BF7" s="24">
        <v>8.1811792324175237</v>
      </c>
      <c r="BG7" s="24">
        <v>4844.8274000000001</v>
      </c>
      <c r="BH7" s="24">
        <v>284.25470000000001</v>
      </c>
      <c r="BI7" s="24">
        <v>5.8671790867100855</v>
      </c>
      <c r="BJ7" s="24">
        <v>4640.7043000000003</v>
      </c>
      <c r="BK7" s="24">
        <v>331.59620000000001</v>
      </c>
      <c r="BL7" s="24">
        <v>7.1453852381846428</v>
      </c>
      <c r="BM7" s="24">
        <v>4358.7403999999997</v>
      </c>
      <c r="BN7" s="24">
        <v>312.19110000000001</v>
      </c>
      <c r="BO7" s="24">
        <v>7.1624155455553176</v>
      </c>
      <c r="BP7" s="24">
        <v>402.00029999999998</v>
      </c>
      <c r="BQ7" s="24">
        <v>436.27620000000002</v>
      </c>
      <c r="BR7" s="55">
        <v>406.04489999999998</v>
      </c>
      <c r="BS7" s="55">
        <v>550.18430000000001</v>
      </c>
      <c r="BT7" s="55">
        <v>600.53599999999994</v>
      </c>
      <c r="BU7" s="24">
        <v>606.60789999999997</v>
      </c>
      <c r="BV7" s="55">
        <v>1179.4466</v>
      </c>
      <c r="BW7" s="77">
        <v>633.43880000000001</v>
      </c>
      <c r="BX7" s="24">
        <v>616.59799999999996</v>
      </c>
      <c r="BY7" s="106">
        <v>699.08640000000003</v>
      </c>
      <c r="BZ7" s="24">
        <v>647.41369999999995</v>
      </c>
      <c r="CA7" s="24">
        <v>643.69299999999998</v>
      </c>
      <c r="CB7" s="24">
        <v>812.60839999999996</v>
      </c>
      <c r="CC7" s="24">
        <v>817.84310000000005</v>
      </c>
      <c r="CD7" s="24">
        <v>790.42729999999995</v>
      </c>
      <c r="CE7" s="77">
        <v>1388.0195000000001</v>
      </c>
      <c r="CF7" s="24">
        <v>1246.2132999999999</v>
      </c>
      <c r="CG7" s="24">
        <v>1219.3675000000001</v>
      </c>
      <c r="CH7" s="24">
        <v>1292.1560999999999</v>
      </c>
      <c r="CI7" s="44">
        <v>1658.7237</v>
      </c>
      <c r="CJ7" s="44">
        <v>1592.9939999999999</v>
      </c>
      <c r="CK7" s="44">
        <v>1928.1777999999999</v>
      </c>
      <c r="CL7" s="44">
        <v>1942.3869999999999</v>
      </c>
      <c r="CM7" s="44">
        <v>2079.1776</v>
      </c>
      <c r="CN7" s="24">
        <v>2033.4419</v>
      </c>
      <c r="CO7" s="24">
        <v>2240.0508</v>
      </c>
      <c r="CP7" s="172">
        <v>2240.3121999999998</v>
      </c>
      <c r="CQ7" s="173">
        <v>2489.48</v>
      </c>
    </row>
    <row r="8" spans="1:95" ht="15.75" x14ac:dyDescent="0.25">
      <c r="A8" s="45" t="s">
        <v>53</v>
      </c>
      <c r="B8" s="24">
        <v>17.263200000000001</v>
      </c>
      <c r="C8" s="24">
        <v>0.06</v>
      </c>
      <c r="D8" s="24">
        <v>0.34756012790212704</v>
      </c>
      <c r="E8" s="24">
        <v>11.3995</v>
      </c>
      <c r="F8" s="24">
        <v>0.06</v>
      </c>
      <c r="G8" s="24">
        <v>0.52633887451203998</v>
      </c>
      <c r="H8" s="24">
        <v>19.685600000000001</v>
      </c>
      <c r="I8" s="24">
        <v>9.98E-2</v>
      </c>
      <c r="J8" s="24">
        <v>0.50696956150688832</v>
      </c>
      <c r="K8" s="24">
        <v>24.796099999999999</v>
      </c>
      <c r="L8" s="24">
        <v>9.9699999999999997E-2</v>
      </c>
      <c r="M8" s="24">
        <v>0.40207935925407623</v>
      </c>
      <c r="N8" s="24">
        <v>32.156300000000002</v>
      </c>
      <c r="O8" s="24">
        <v>10.9109</v>
      </c>
      <c r="P8" s="24">
        <v>33.930831594430948</v>
      </c>
      <c r="Q8" s="24">
        <v>28.450600000000001</v>
      </c>
      <c r="R8" s="24">
        <v>10.1027</v>
      </c>
      <c r="S8" s="24">
        <v>35.509620183757107</v>
      </c>
      <c r="T8" s="24">
        <v>37.0246</v>
      </c>
      <c r="U8" s="24">
        <v>3.2761999999999998</v>
      </c>
      <c r="V8" s="24">
        <v>8.8487113972872073</v>
      </c>
      <c r="W8" s="24">
        <v>73.396000000000001</v>
      </c>
      <c r="X8" s="24">
        <v>10.47</v>
      </c>
      <c r="Y8" s="24">
        <v>14.265082565807402</v>
      </c>
      <c r="Z8" s="24">
        <v>59.7819</v>
      </c>
      <c r="AA8" s="24">
        <v>8.51</v>
      </c>
      <c r="AB8" s="24">
        <v>14.235077841286408</v>
      </c>
      <c r="AC8" s="24">
        <v>103.7287</v>
      </c>
      <c r="AD8" s="24">
        <v>14.7547</v>
      </c>
      <c r="AE8" s="24">
        <v>14.224317859955827</v>
      </c>
      <c r="AF8" s="24">
        <v>108.3246</v>
      </c>
      <c r="AG8" s="24">
        <v>14.2324</v>
      </c>
      <c r="AH8" s="24">
        <v>13.138659178062969</v>
      </c>
      <c r="AI8" s="24">
        <v>84.840400000000002</v>
      </c>
      <c r="AJ8" s="24">
        <v>10.396599999999999</v>
      </c>
      <c r="AK8" s="24">
        <v>12.254303374335811</v>
      </c>
      <c r="AL8" s="24">
        <v>157.0822</v>
      </c>
      <c r="AM8" s="24">
        <v>16.895800000000001</v>
      </c>
      <c r="AN8" s="24">
        <v>10.756024552750091</v>
      </c>
      <c r="AO8" s="24">
        <v>148.18010000000001</v>
      </c>
      <c r="AP8" s="24">
        <v>16.9404</v>
      </c>
      <c r="AQ8" s="24">
        <v>11.432304337761954</v>
      </c>
      <c r="AR8" s="24">
        <v>122.8032</v>
      </c>
      <c r="AS8" s="24">
        <v>15.861000000000001</v>
      </c>
      <c r="AT8" s="24">
        <v>12.915787210756724</v>
      </c>
      <c r="AU8" s="24">
        <v>113.5827</v>
      </c>
      <c r="AV8" s="24">
        <v>13.6942</v>
      </c>
      <c r="AW8" s="24">
        <v>12.056589603874533</v>
      </c>
      <c r="AX8" s="24">
        <v>158.36529999999999</v>
      </c>
      <c r="AY8" s="24">
        <v>24.747499999999999</v>
      </c>
      <c r="AZ8" s="24">
        <v>15.626845022236562</v>
      </c>
      <c r="BA8" s="24">
        <v>265.90519999999998</v>
      </c>
      <c r="BB8" s="24">
        <v>51.652200000000001</v>
      </c>
      <c r="BC8" s="24">
        <v>19.425043210888695</v>
      </c>
      <c r="BD8" s="24">
        <v>259.834</v>
      </c>
      <c r="BE8" s="24">
        <v>49.891800000000003</v>
      </c>
      <c r="BF8" s="24">
        <v>19.201413209972522</v>
      </c>
      <c r="BG8" s="24">
        <v>314.29649999999998</v>
      </c>
      <c r="BH8" s="24">
        <v>61.452199999999998</v>
      </c>
      <c r="BI8" s="24">
        <v>19.552301727827068</v>
      </c>
      <c r="BJ8" s="24">
        <v>277.60109999999997</v>
      </c>
      <c r="BK8" s="24">
        <v>46.819600000000001</v>
      </c>
      <c r="BL8" s="24">
        <v>16.865783312818287</v>
      </c>
      <c r="BM8" s="24">
        <v>245.81870000000001</v>
      </c>
      <c r="BN8" s="24">
        <v>39.504199999999997</v>
      </c>
      <c r="BO8" s="24">
        <v>16.070461685787123</v>
      </c>
      <c r="BP8" s="24">
        <v>33.944299999999998</v>
      </c>
      <c r="BQ8" s="24">
        <v>34.860900000000001</v>
      </c>
      <c r="BR8" s="55">
        <v>31.526000000000003</v>
      </c>
      <c r="BS8" s="55">
        <v>37.352499999999999</v>
      </c>
      <c r="BT8" s="55">
        <v>34.9358</v>
      </c>
      <c r="BU8" s="24">
        <v>31.638100000000001</v>
      </c>
      <c r="BV8" s="55">
        <v>34.334600000000002</v>
      </c>
      <c r="BW8" s="86">
        <v>31.210899999999999</v>
      </c>
      <c r="BX8" s="24">
        <v>22.1111</v>
      </c>
      <c r="BY8" s="106">
        <v>35.860399999999998</v>
      </c>
      <c r="BZ8" s="24">
        <v>45.034599999999998</v>
      </c>
      <c r="CA8" s="24">
        <v>35.529200000000003</v>
      </c>
      <c r="CB8" s="24">
        <v>43.806900000000006</v>
      </c>
      <c r="CC8" s="24">
        <v>43.3262</v>
      </c>
      <c r="CD8" s="24">
        <v>36.513800000000003</v>
      </c>
      <c r="CE8" s="148">
        <v>51.5214</v>
      </c>
      <c r="CF8" s="24">
        <v>50.008900000000004</v>
      </c>
      <c r="CG8" s="24">
        <v>45.256900000000002</v>
      </c>
      <c r="CH8" s="24">
        <v>55.479500000000002</v>
      </c>
      <c r="CI8" s="44">
        <v>46.336100000000002</v>
      </c>
      <c r="CJ8" s="44">
        <f>39.2576+1.1061</f>
        <v>40.363699999999994</v>
      </c>
      <c r="CK8" s="44">
        <v>64.104699999999994</v>
      </c>
      <c r="CL8" s="44">
        <v>65.23</v>
      </c>
      <c r="CM8" s="44">
        <f>56.1832+4.3944</f>
        <v>60.577599999999997</v>
      </c>
      <c r="CN8" s="24">
        <f>39.594+1.9984</f>
        <v>41.592399999999998</v>
      </c>
      <c r="CO8" s="24">
        <f>94.8224+10.9377</f>
        <v>105.76009999999999</v>
      </c>
      <c r="CP8" s="175">
        <f>102.4283+3.3074</f>
        <v>105.73569999999999</v>
      </c>
      <c r="CQ8" s="175">
        <f>125.1773+5.6402</f>
        <v>130.8175</v>
      </c>
    </row>
    <row r="9" spans="1:95" ht="15.75" x14ac:dyDescent="0.25">
      <c r="A9" s="44" t="s">
        <v>54</v>
      </c>
      <c r="B9" s="24">
        <v>9.2157</v>
      </c>
      <c r="C9" s="24">
        <v>0.90129999999999999</v>
      </c>
      <c r="D9" s="24">
        <v>9.7800492637564158</v>
      </c>
      <c r="E9" s="24">
        <v>9.3253000000000004</v>
      </c>
      <c r="F9" s="24">
        <v>0.753</v>
      </c>
      <c r="G9" s="24">
        <v>8.074807244807138</v>
      </c>
      <c r="H9" s="24">
        <v>16.1952</v>
      </c>
      <c r="I9" s="24">
        <v>0.36459999999999998</v>
      </c>
      <c r="J9" s="24">
        <v>2.2512843311598498</v>
      </c>
      <c r="K9" s="24">
        <v>2.3955000000000002</v>
      </c>
      <c r="L9" s="24">
        <v>2.3E-3</v>
      </c>
      <c r="M9" s="24">
        <v>9.6013358380296385E-2</v>
      </c>
      <c r="N9" s="24">
        <v>32.758899999999997</v>
      </c>
      <c r="O9" s="24">
        <v>3.2000000000000001E-2</v>
      </c>
      <c r="P9" s="24">
        <v>9.7683377646990602E-2</v>
      </c>
      <c r="Q9" s="24">
        <v>32.485799999999998</v>
      </c>
      <c r="R9" s="24">
        <v>2.01E-2</v>
      </c>
      <c r="S9" s="24">
        <v>6.1873187669689529E-2</v>
      </c>
      <c r="T9" s="24">
        <v>10.17</v>
      </c>
      <c r="U9" s="24">
        <v>1.7509999999999999</v>
      </c>
      <c r="V9" s="24">
        <v>17.217305801376597</v>
      </c>
      <c r="W9" s="24">
        <v>9.8727999999999998</v>
      </c>
      <c r="X9" s="24">
        <v>1.6990000000000001</v>
      </c>
      <c r="Y9" s="24">
        <v>17.208897172028202</v>
      </c>
      <c r="Z9" s="24">
        <v>1.1697</v>
      </c>
      <c r="AA9" s="24">
        <v>6.1400000000000003E-2</v>
      </c>
      <c r="AB9" s="24">
        <v>5.2492091989398997</v>
      </c>
      <c r="AC9" s="24">
        <v>21.8201</v>
      </c>
      <c r="AD9" s="24">
        <v>3.9276</v>
      </c>
      <c r="AE9" s="24">
        <v>17.999917507252487</v>
      </c>
      <c r="AF9" s="24">
        <v>34.7973</v>
      </c>
      <c r="AG9" s="24">
        <v>3.06</v>
      </c>
      <c r="AH9" s="24">
        <v>8.7937857247545068</v>
      </c>
      <c r="AI9" s="24">
        <v>21.386099999999999</v>
      </c>
      <c r="AJ9" s="24">
        <v>2.7642000000000002</v>
      </c>
      <c r="AK9" s="24">
        <v>12.925217781643219</v>
      </c>
      <c r="AL9" s="24">
        <v>42.918399999999998</v>
      </c>
      <c r="AM9" s="24">
        <v>8.7531999999999996</v>
      </c>
      <c r="AN9" s="24">
        <v>20.394982105577096</v>
      </c>
      <c r="AO9" s="24">
        <v>95.220100000000002</v>
      </c>
      <c r="AP9" s="24">
        <v>22.206199999999999</v>
      </c>
      <c r="AQ9" s="24">
        <v>23.320916487170248</v>
      </c>
      <c r="AR9" s="24">
        <v>49.926400000000001</v>
      </c>
      <c r="AS9" s="24">
        <v>7.7229999999999999</v>
      </c>
      <c r="AT9" s="24">
        <v>15.4687700294834</v>
      </c>
      <c r="AU9" s="24">
        <v>48.946899999999999</v>
      </c>
      <c r="AV9" s="24">
        <v>7.3224</v>
      </c>
      <c r="AW9" s="24">
        <v>14.95988509997569</v>
      </c>
      <c r="AX9" s="24">
        <v>77.168199999999999</v>
      </c>
      <c r="AY9" s="24">
        <v>15.262</v>
      </c>
      <c r="AZ9" s="24">
        <v>19.777576773852442</v>
      </c>
      <c r="BA9" s="24">
        <v>30.889800000000001</v>
      </c>
      <c r="BB9" s="24">
        <v>5.5900999999999996</v>
      </c>
      <c r="BC9" s="24">
        <v>18.096912249350915</v>
      </c>
      <c r="BD9" s="24">
        <v>10.6402</v>
      </c>
      <c r="BE9" s="24">
        <v>1.7544</v>
      </c>
      <c r="BF9" s="24">
        <v>16.488411871957293</v>
      </c>
      <c r="BG9" s="24">
        <v>58.020499999999998</v>
      </c>
      <c r="BH9" s="24">
        <v>10.552</v>
      </c>
      <c r="BI9" s="24">
        <v>18.186675399212344</v>
      </c>
      <c r="BJ9" s="24">
        <v>16.874099999999999</v>
      </c>
      <c r="BK9" s="24">
        <v>2.8151999999999999</v>
      </c>
      <c r="BL9" s="24">
        <v>16.683556456344341</v>
      </c>
      <c r="BM9" s="24">
        <v>16.1189</v>
      </c>
      <c r="BN9" s="24">
        <v>2.6734</v>
      </c>
      <c r="BO9" s="24">
        <v>16.585499010478383</v>
      </c>
      <c r="BP9" s="24">
        <v>9.4038000000000004</v>
      </c>
      <c r="BQ9" s="24">
        <v>9.2274999999999991</v>
      </c>
      <c r="BR9" s="55">
        <v>4.7930000000000001</v>
      </c>
      <c r="BS9" s="55">
        <v>9.3176999999999985</v>
      </c>
      <c r="BT9" s="55">
        <v>3.1362999999999999</v>
      </c>
      <c r="BU9" s="24">
        <v>3.0916999999999999</v>
      </c>
      <c r="BV9" s="55">
        <v>8.5400000000000004E-2</v>
      </c>
      <c r="BW9" s="86">
        <v>8.5000000000000006E-2</v>
      </c>
      <c r="BX9" s="24">
        <v>8.1600000000000006E-2</v>
      </c>
      <c r="BY9" s="106">
        <v>9.0200000000000002E-2</v>
      </c>
      <c r="BZ9" s="24">
        <v>1.9579</v>
      </c>
      <c r="CA9" s="24">
        <v>1.9571000000000001</v>
      </c>
      <c r="CB9" s="24">
        <v>4.0903</v>
      </c>
      <c r="CC9" s="24">
        <v>3.0199999999999998E-2</v>
      </c>
      <c r="CD9" s="24">
        <v>2.98E-2</v>
      </c>
      <c r="CE9" s="77">
        <v>9.0400000000000008E-2</v>
      </c>
      <c r="CF9" s="24">
        <v>2.3449999999999998</v>
      </c>
      <c r="CG9" s="24">
        <v>1.7833000000000001</v>
      </c>
      <c r="CH9" s="24">
        <v>4.9470000000000001</v>
      </c>
      <c r="CI9" s="44">
        <v>0.68130000000000002</v>
      </c>
      <c r="CJ9" s="44">
        <v>0.1198</v>
      </c>
      <c r="CK9" s="44">
        <v>2.0484999999999998</v>
      </c>
      <c r="CL9" s="44">
        <v>3.5878000000000001</v>
      </c>
      <c r="CM9" s="44">
        <f>2.9099+4.1247</f>
        <v>7.0345999999999993</v>
      </c>
      <c r="CN9" s="24">
        <f>1.4786+1.9837</f>
        <v>3.4622999999999999</v>
      </c>
      <c r="CO9" s="24">
        <f>2.925+4.1247</f>
        <v>7.0496999999999996</v>
      </c>
      <c r="CP9" s="175">
        <f>2.8428+4.1217</f>
        <v>6.9644999999999992</v>
      </c>
      <c r="CQ9" s="175">
        <f>4.263+6.184</f>
        <v>10.446999999999999</v>
      </c>
    </row>
    <row r="10" spans="1:95" ht="15.75" x14ac:dyDescent="0.25">
      <c r="A10" s="44" t="s">
        <v>55</v>
      </c>
      <c r="B10" s="24">
        <v>1.0062</v>
      </c>
      <c r="C10" s="24">
        <v>0.17499999999999999</v>
      </c>
      <c r="D10" s="24">
        <v>17.392168554959252</v>
      </c>
      <c r="E10" s="24">
        <v>0.78200000000000003</v>
      </c>
      <c r="F10" s="24">
        <v>0</v>
      </c>
      <c r="G10" s="24">
        <v>0</v>
      </c>
      <c r="H10" s="24">
        <v>1.3176000000000001</v>
      </c>
      <c r="I10" s="24">
        <v>0.125</v>
      </c>
      <c r="J10" s="24">
        <v>9.4869459623557972</v>
      </c>
      <c r="K10" s="24">
        <v>1.9862</v>
      </c>
      <c r="L10" s="24">
        <v>0.122</v>
      </c>
      <c r="M10" s="24">
        <v>6.1423824388279122</v>
      </c>
      <c r="N10" s="24">
        <v>3.9636999999999998</v>
      </c>
      <c r="O10" s="24">
        <v>0.1002</v>
      </c>
      <c r="P10" s="24">
        <v>2.5279410651663849</v>
      </c>
      <c r="Q10" s="24">
        <v>103.0104</v>
      </c>
      <c r="R10" s="24">
        <v>9.7600000000000006E-2</v>
      </c>
      <c r="S10" s="24">
        <v>9.4747714793846055E-2</v>
      </c>
      <c r="T10" s="24">
        <v>7.0717999999999996</v>
      </c>
      <c r="U10" s="24">
        <v>0.24690000000000001</v>
      </c>
      <c r="V10" s="24">
        <v>3.4913317684323655</v>
      </c>
      <c r="W10" s="24">
        <v>7.4221000000000004</v>
      </c>
      <c r="X10" s="24">
        <v>0.59650000000000003</v>
      </c>
      <c r="Y10" s="24">
        <v>8.036808989369586</v>
      </c>
      <c r="Z10" s="24">
        <v>6.2024999999999997</v>
      </c>
      <c r="AA10" s="24">
        <v>0.38190000000000002</v>
      </c>
      <c r="AB10" s="24">
        <v>6.157194679564693</v>
      </c>
      <c r="AC10" s="24">
        <v>9.6159999999999997</v>
      </c>
      <c r="AD10" s="24">
        <v>0.79159999999999997</v>
      </c>
      <c r="AE10" s="24">
        <v>8.2321131447587348</v>
      </c>
      <c r="AF10" s="24">
        <v>14.9375</v>
      </c>
      <c r="AG10" s="24">
        <v>1.4191</v>
      </c>
      <c r="AH10" s="24">
        <v>9.5002510460251042</v>
      </c>
      <c r="AI10" s="24">
        <v>13.762</v>
      </c>
      <c r="AJ10" s="24">
        <v>1.3214999999999999</v>
      </c>
      <c r="AK10" s="24">
        <v>9.6025287022235126</v>
      </c>
      <c r="AL10" s="24">
        <v>12.923999999999999</v>
      </c>
      <c r="AM10" s="24">
        <v>1.7407999999999999</v>
      </c>
      <c r="AN10" s="24">
        <v>13.469514082327452</v>
      </c>
      <c r="AO10" s="24">
        <v>27.885100000000001</v>
      </c>
      <c r="AP10" s="24">
        <v>4.2769000000000004</v>
      </c>
      <c r="AQ10" s="24">
        <v>15.33758171926943</v>
      </c>
      <c r="AR10" s="24">
        <v>30.999020000000002</v>
      </c>
      <c r="AS10" s="24">
        <v>4.2819000000000003</v>
      </c>
      <c r="AT10" s="24">
        <v>13.81301731474092</v>
      </c>
      <c r="AU10" s="24">
        <v>30.194500000000001</v>
      </c>
      <c r="AV10" s="24">
        <v>4.2625000000000002</v>
      </c>
      <c r="AW10" s="24">
        <v>14.116809352696682</v>
      </c>
      <c r="AX10" s="24">
        <v>33.915300000000002</v>
      </c>
      <c r="AY10" s="24">
        <v>4.5879000000000003</v>
      </c>
      <c r="AZ10" s="24">
        <v>13.527522976355804</v>
      </c>
      <c r="BA10" s="24">
        <v>52.917400000000001</v>
      </c>
      <c r="BB10" s="24">
        <v>7.2255000000000003</v>
      </c>
      <c r="BC10" s="24">
        <v>13.654298964045852</v>
      </c>
      <c r="BD10" s="24">
        <v>51.732900000000001</v>
      </c>
      <c r="BE10" s="24">
        <v>7.2015000000000002</v>
      </c>
      <c r="BF10" s="24">
        <v>13.920541860208882</v>
      </c>
      <c r="BG10" s="24">
        <v>59.736699999999999</v>
      </c>
      <c r="BH10" s="24">
        <v>7.9276</v>
      </c>
      <c r="BI10" s="24">
        <v>13.270903816246966</v>
      </c>
      <c r="BJ10" s="24">
        <v>68.514200000000002</v>
      </c>
      <c r="BK10" s="24">
        <v>9.7392000000000003</v>
      </c>
      <c r="BL10" s="24">
        <v>14.214863488152821</v>
      </c>
      <c r="BM10" s="24">
        <v>64.221599999999995</v>
      </c>
      <c r="BN10" s="24">
        <v>9.5287000000000006</v>
      </c>
      <c r="BO10" s="24">
        <v>14.837219876178734</v>
      </c>
      <c r="BP10" s="24">
        <v>9.9281000000000006</v>
      </c>
      <c r="BQ10" s="24">
        <v>12.9908</v>
      </c>
      <c r="BR10" s="55">
        <v>12.007</v>
      </c>
      <c r="BS10" s="55">
        <v>16.137499999999999</v>
      </c>
      <c r="BT10" s="55">
        <v>16.676500000000001</v>
      </c>
      <c r="BU10" s="24">
        <v>15.753500000000001</v>
      </c>
      <c r="BV10" s="55">
        <v>17.6875</v>
      </c>
      <c r="BW10" s="77">
        <v>15.961600000000001</v>
      </c>
      <c r="BX10" s="24">
        <v>14.867900000000001</v>
      </c>
      <c r="BY10" s="106">
        <v>17.687000000000001</v>
      </c>
      <c r="BZ10" s="24">
        <v>14.537000000000001</v>
      </c>
      <c r="CA10" s="24">
        <v>14.4162</v>
      </c>
      <c r="CB10" s="24">
        <v>20.537099999999999</v>
      </c>
      <c r="CC10" s="24">
        <v>18.392099999999999</v>
      </c>
      <c r="CD10" s="24">
        <v>17.158000000000001</v>
      </c>
      <c r="CE10" s="77">
        <v>21.552199999999999</v>
      </c>
      <c r="CF10" s="24">
        <v>19.8309</v>
      </c>
      <c r="CG10" s="24">
        <v>18.026199999999999</v>
      </c>
      <c r="CH10" s="24">
        <v>22.9846</v>
      </c>
      <c r="CI10" s="44">
        <v>19.9894</v>
      </c>
      <c r="CJ10" s="44">
        <v>19.429300000000001</v>
      </c>
      <c r="CK10" s="44">
        <v>23.387599999999999</v>
      </c>
      <c r="CL10" s="44">
        <v>23.387599999999999</v>
      </c>
      <c r="CM10" s="44">
        <v>23.317</v>
      </c>
      <c r="CN10" s="24">
        <v>22.5456</v>
      </c>
      <c r="CO10" s="24">
        <v>25.5898</v>
      </c>
      <c r="CP10" s="175">
        <v>28.429500000000001</v>
      </c>
      <c r="CQ10" s="175">
        <v>30.323699999999999</v>
      </c>
    </row>
    <row r="11" spans="1:95" ht="15.75" x14ac:dyDescent="0.25">
      <c r="A11" s="44" t="s">
        <v>56</v>
      </c>
      <c r="B11" s="24">
        <v>12.875</v>
      </c>
      <c r="C11" s="24">
        <v>0</v>
      </c>
      <c r="D11" s="24">
        <v>0</v>
      </c>
      <c r="E11" s="24">
        <v>18.9757</v>
      </c>
      <c r="F11" s="24">
        <v>0</v>
      </c>
      <c r="G11" s="24">
        <v>0</v>
      </c>
      <c r="H11" s="24">
        <v>20.918399999999998</v>
      </c>
      <c r="I11" s="24">
        <v>0</v>
      </c>
      <c r="J11" s="24">
        <v>0</v>
      </c>
      <c r="K11" s="24">
        <v>1607.9999</v>
      </c>
      <c r="L11" s="24">
        <v>0</v>
      </c>
      <c r="M11" s="24">
        <v>0</v>
      </c>
      <c r="N11" s="24">
        <v>2598.2534000000001</v>
      </c>
      <c r="O11" s="24">
        <v>0</v>
      </c>
      <c r="P11" s="24">
        <v>0</v>
      </c>
      <c r="Q11" s="24">
        <v>24.918199999999999</v>
      </c>
      <c r="R11" s="24">
        <v>0</v>
      </c>
      <c r="S11" s="24">
        <v>0</v>
      </c>
      <c r="T11" s="24">
        <v>2588.9919</v>
      </c>
      <c r="U11" s="24">
        <v>1E-4</v>
      </c>
      <c r="V11" s="24">
        <v>3.8625072562026941E-6</v>
      </c>
      <c r="W11" s="24">
        <v>31.883099999999999</v>
      </c>
      <c r="X11" s="24">
        <v>0.1512</v>
      </c>
      <c r="Y11" s="24">
        <v>0.47423243034711182</v>
      </c>
      <c r="Z11" s="24">
        <v>26.638000000000002</v>
      </c>
      <c r="AA11" s="24">
        <v>0</v>
      </c>
      <c r="AB11" s="24">
        <v>0</v>
      </c>
      <c r="AC11" s="24">
        <v>37.4283</v>
      </c>
      <c r="AD11" s="24">
        <v>0.16719999999999999</v>
      </c>
      <c r="AE11" s="24">
        <v>0.44672079683020599</v>
      </c>
      <c r="AF11" s="24">
        <v>3360.0814999999998</v>
      </c>
      <c r="AG11" s="24">
        <v>7.39</v>
      </c>
      <c r="AH11" s="24">
        <v>0.21993514145415821</v>
      </c>
      <c r="AI11" s="24">
        <v>36.235799999999998</v>
      </c>
      <c r="AJ11" s="24">
        <v>1.8440000000000001</v>
      </c>
      <c r="AK11" s="24">
        <v>5.0888899927695821</v>
      </c>
      <c r="AL11" s="24">
        <v>5082.2276000000002</v>
      </c>
      <c r="AM11" s="24">
        <v>10.5489</v>
      </c>
      <c r="AN11" s="24">
        <v>0.20756449396323767</v>
      </c>
      <c r="AO11" s="24">
        <v>57.226599999999998</v>
      </c>
      <c r="AP11" s="24">
        <v>10.4291</v>
      </c>
      <c r="AQ11" s="24">
        <v>18.224217409386544</v>
      </c>
      <c r="AR11" s="24">
        <v>46.231999999999999</v>
      </c>
      <c r="AS11" s="24">
        <v>8.6014999999999997</v>
      </c>
      <c r="AT11" s="24">
        <v>18.605078733344868</v>
      </c>
      <c r="AU11" s="24">
        <v>40.6432</v>
      </c>
      <c r="AV11" s="24">
        <v>7.5919999999999996</v>
      </c>
      <c r="AW11" s="24">
        <v>18.679631525076765</v>
      </c>
      <c r="AX11" s="24">
        <v>56.369500000000002</v>
      </c>
      <c r="AY11" s="24">
        <v>10.5806</v>
      </c>
      <c r="AZ11" s="24">
        <v>18.770079564303391</v>
      </c>
      <c r="BA11" s="24">
        <v>47.753100000000003</v>
      </c>
      <c r="BB11" s="24">
        <v>8.8013999999999992</v>
      </c>
      <c r="BC11" s="24">
        <v>18.431054737807596</v>
      </c>
      <c r="BD11" s="24">
        <v>44.576500000000003</v>
      </c>
      <c r="BE11" s="24">
        <v>8.1272000000000002</v>
      </c>
      <c r="BF11" s="24">
        <v>18.232028086547842</v>
      </c>
      <c r="BG11" s="24">
        <v>52.305199999999999</v>
      </c>
      <c r="BH11" s="24">
        <v>9.5313999999999997</v>
      </c>
      <c r="BI11" s="24">
        <v>18.22266237391311</v>
      </c>
      <c r="BJ11" s="24">
        <v>52.659199999999998</v>
      </c>
      <c r="BK11" s="24">
        <v>9.5361999999999991</v>
      </c>
      <c r="BL11" s="24">
        <v>18.109276251823044</v>
      </c>
      <c r="BM11" s="24">
        <v>47.155900000000003</v>
      </c>
      <c r="BN11" s="24">
        <v>8.6849000000000007</v>
      </c>
      <c r="BO11" s="24">
        <v>18.417419665407721</v>
      </c>
      <c r="BP11" s="24">
        <v>9.6397999999999993</v>
      </c>
      <c r="BQ11" s="24">
        <v>9.4737000000000009</v>
      </c>
      <c r="BR11" s="55">
        <v>8.7471999999999994</v>
      </c>
      <c r="BS11" s="55">
        <v>11.6617</v>
      </c>
      <c r="BT11" s="55">
        <v>11.7659</v>
      </c>
      <c r="BU11" s="24">
        <v>10.285400000000001</v>
      </c>
      <c r="BV11" s="55">
        <v>15.960800000000001</v>
      </c>
      <c r="BW11" s="77">
        <v>13.4305</v>
      </c>
      <c r="BX11" s="24">
        <v>0</v>
      </c>
      <c r="BY11" s="106">
        <v>0</v>
      </c>
      <c r="BZ11" s="24">
        <v>0</v>
      </c>
      <c r="CA11" s="24">
        <v>0</v>
      </c>
      <c r="CB11" s="24">
        <v>0</v>
      </c>
      <c r="CC11" s="24">
        <v>0</v>
      </c>
      <c r="CD11" s="24">
        <v>0</v>
      </c>
      <c r="CE11" s="77">
        <v>0</v>
      </c>
      <c r="CF11" s="24">
        <v>0</v>
      </c>
      <c r="CG11" s="24">
        <v>0</v>
      </c>
      <c r="CH11" s="24">
        <v>0</v>
      </c>
      <c r="CI11" s="44">
        <v>0</v>
      </c>
      <c r="CJ11" s="44">
        <v>0</v>
      </c>
      <c r="CK11" s="44">
        <v>0</v>
      </c>
      <c r="CL11" s="44">
        <v>0</v>
      </c>
      <c r="CM11" s="44">
        <v>0</v>
      </c>
      <c r="CN11" s="44">
        <v>0</v>
      </c>
      <c r="CO11" s="44">
        <v>0</v>
      </c>
      <c r="CP11" s="171">
        <v>0</v>
      </c>
      <c r="CQ11" s="171">
        <v>0</v>
      </c>
    </row>
    <row r="12" spans="1:95" ht="15.75" x14ac:dyDescent="0.25">
      <c r="A12" s="11" t="s">
        <v>57</v>
      </c>
      <c r="B12" s="12">
        <v>557.92639999999994</v>
      </c>
      <c r="C12" s="12">
        <v>1.5927</v>
      </c>
      <c r="D12" s="12">
        <v>0.28546776062218998</v>
      </c>
      <c r="E12" s="12">
        <v>802.60820000000001</v>
      </c>
      <c r="F12" s="12">
        <v>1.0475000000000001</v>
      </c>
      <c r="G12" s="12">
        <v>0.13051199825768039</v>
      </c>
      <c r="H12" s="12">
        <v>971.66459999999995</v>
      </c>
      <c r="I12" s="12">
        <v>0.81399999999999995</v>
      </c>
      <c r="J12" s="12">
        <v>8.3773763086562994E-2</v>
      </c>
      <c r="K12" s="12">
        <v>3193.7728999999999</v>
      </c>
      <c r="L12" s="12">
        <v>0.374</v>
      </c>
      <c r="M12" s="12">
        <v>1.1710287854217813E-2</v>
      </c>
      <c r="N12" s="12">
        <v>5170.7307000000001</v>
      </c>
      <c r="O12" s="12">
        <v>48.448099999999997</v>
      </c>
      <c r="P12" s="12">
        <v>0.9369681542301167</v>
      </c>
      <c r="Q12" s="12">
        <v>2427.4811</v>
      </c>
      <c r="R12" s="12">
        <v>16.9941</v>
      </c>
      <c r="S12" s="12">
        <v>0.70007136203861686</v>
      </c>
      <c r="T12" s="12">
        <v>5148.2636000000002</v>
      </c>
      <c r="U12" s="12">
        <v>57.876800000000003</v>
      </c>
      <c r="V12" s="12">
        <v>1.124200400305843</v>
      </c>
      <c r="W12" s="12">
        <v>2558.2986999999998</v>
      </c>
      <c r="X12" s="12">
        <v>40.535400000000003</v>
      </c>
      <c r="Y12" s="12">
        <v>1.5844670522640694</v>
      </c>
      <c r="Z12" s="12">
        <v>2383.0282999999999</v>
      </c>
      <c r="AA12" s="12">
        <v>35.947699999999998</v>
      </c>
      <c r="AB12" s="12">
        <v>1.5084881702831645</v>
      </c>
      <c r="AC12" s="12">
        <v>3579.2339000000002</v>
      </c>
      <c r="AD12" s="12">
        <v>138.42169999999999</v>
      </c>
      <c r="AE12" s="12">
        <v>3.8673555254379988</v>
      </c>
      <c r="AF12" s="12">
        <v>6684.8356999999996</v>
      </c>
      <c r="AG12" s="12">
        <v>186.79230000000001</v>
      </c>
      <c r="AH12" s="12">
        <v>2.7942691246697358</v>
      </c>
      <c r="AI12" s="12">
        <v>3147.5875000000005</v>
      </c>
      <c r="AJ12" s="12">
        <v>171.29859999999999</v>
      </c>
      <c r="AK12" s="12">
        <v>5.4422188422085158</v>
      </c>
      <c r="AL12" s="12">
        <v>10106.0015</v>
      </c>
      <c r="AM12" s="12">
        <v>319.26389999999998</v>
      </c>
      <c r="AN12" s="12">
        <v>3.1591515200151119</v>
      </c>
      <c r="AO12" s="12">
        <v>8047.2223000000004</v>
      </c>
      <c r="AP12" s="12">
        <v>221.8047</v>
      </c>
      <c r="AQ12" s="12">
        <v>2.7562889619689002</v>
      </c>
      <c r="AR12" s="12">
        <v>6660.79972</v>
      </c>
      <c r="AS12" s="12">
        <v>191.7663</v>
      </c>
      <c r="AT12" s="12">
        <v>2.8790281657050034</v>
      </c>
      <c r="AU12" s="12">
        <v>6174.4117999999999</v>
      </c>
      <c r="AV12" s="12">
        <v>169.08839999999998</v>
      </c>
      <c r="AW12" s="12">
        <v>2.7385345434847737</v>
      </c>
      <c r="AX12" s="12">
        <v>8810.6015000000007</v>
      </c>
      <c r="AY12" s="12">
        <v>330.74680000000001</v>
      </c>
      <c r="AZ12" s="12">
        <v>3.7539639035995442</v>
      </c>
      <c r="BA12" s="12">
        <v>8132.7139000000006</v>
      </c>
      <c r="BB12" s="12">
        <v>371.29829999999998</v>
      </c>
      <c r="BC12" s="12">
        <v>4.5654907398131872</v>
      </c>
      <c r="BD12" s="12">
        <v>7768.4336999999996</v>
      </c>
      <c r="BE12" s="12">
        <v>346.10559999999998</v>
      </c>
      <c r="BF12" s="12">
        <v>4.4552816354730549</v>
      </c>
      <c r="BG12" s="12">
        <v>11126.234900000001</v>
      </c>
      <c r="BH12" s="12">
        <v>616.15359999999987</v>
      </c>
      <c r="BI12" s="12">
        <v>5.5378446126460963</v>
      </c>
      <c r="BJ12" s="12">
        <v>10749.4715</v>
      </c>
      <c r="BK12" s="12">
        <v>630.94560000000001</v>
      </c>
      <c r="BL12" s="12">
        <v>5.869549958804952</v>
      </c>
      <c r="BM12" s="12">
        <v>10750.4715</v>
      </c>
      <c r="BN12" s="12">
        <v>600.6158999999999</v>
      </c>
      <c r="BO12" s="12">
        <v>5.5868796080246339</v>
      </c>
      <c r="BP12" s="12">
        <v>707.3519</v>
      </c>
      <c r="BQ12" s="12">
        <v>719.52520000000004</v>
      </c>
      <c r="BR12" s="57">
        <v>675.58699999999988</v>
      </c>
      <c r="BS12" s="57">
        <v>985.9197999999999</v>
      </c>
      <c r="BT12" s="57">
        <v>975.19659999999999</v>
      </c>
      <c r="BU12" s="57">
        <v>957.01459999999997</v>
      </c>
      <c r="BV12" s="57">
        <v>1642.6509999999998</v>
      </c>
      <c r="BW12" s="87">
        <v>1071.7444</v>
      </c>
      <c r="BX12" s="108">
        <v>1023.7429999999998</v>
      </c>
      <c r="BY12" s="108">
        <v>1198.8416</v>
      </c>
      <c r="BZ12" s="108">
        <v>1031.0415999999998</v>
      </c>
      <c r="CA12" s="12">
        <v>1002.5834</v>
      </c>
      <c r="CB12" s="12">
        <v>1296.1778000000002</v>
      </c>
      <c r="CC12" s="12">
        <v>1299.5517</v>
      </c>
      <c r="CD12" s="12">
        <v>1098.4476999999999</v>
      </c>
      <c r="CE12" s="81">
        <v>1845.9936</v>
      </c>
      <c r="CF12" s="12">
        <v>1853.1895999999999</v>
      </c>
      <c r="CG12" s="12">
        <v>1591.5896</v>
      </c>
      <c r="CH12" s="12">
        <v>1986.4774</v>
      </c>
      <c r="CI12" s="12">
        <v>2453.9614000000001</v>
      </c>
      <c r="CJ12" s="12">
        <f>SUM(CJ6:CJ11)</f>
        <v>2095.5803999999994</v>
      </c>
      <c r="CK12" s="12">
        <v>2717.5834</v>
      </c>
      <c r="CL12" s="12">
        <v>2811.2435999999998</v>
      </c>
      <c r="CM12" s="13">
        <f>SUM(CM6:CM11)</f>
        <v>2882.6375000000003</v>
      </c>
      <c r="CN12" s="12">
        <f>SUM(CN6:CN11)</f>
        <v>2499.4117999999999</v>
      </c>
      <c r="CO12" s="13">
        <f>SUM(CO5:CO11)</f>
        <v>3103.7706000000003</v>
      </c>
      <c r="CP12" s="12">
        <f>SUM(CP6:CP11)</f>
        <v>3065.2323000000001</v>
      </c>
      <c r="CQ12" s="12">
        <f>SUM(CQ6:CQ11)</f>
        <v>3432.6586000000002</v>
      </c>
    </row>
    <row r="13" spans="1:95" ht="15.75" x14ac:dyDescent="0.25">
      <c r="A13" s="16" t="s">
        <v>58</v>
      </c>
      <c r="B13" s="12">
        <v>33.095999999999997</v>
      </c>
      <c r="C13" s="12">
        <v>0</v>
      </c>
      <c r="D13" s="12">
        <v>0</v>
      </c>
      <c r="E13" s="12">
        <v>16.2666</v>
      </c>
      <c r="F13" s="12">
        <v>0</v>
      </c>
      <c r="G13" s="12">
        <v>0</v>
      </c>
      <c r="H13" s="12">
        <v>11.617800000000001</v>
      </c>
      <c r="I13" s="12">
        <v>0</v>
      </c>
      <c r="J13" s="12">
        <v>0</v>
      </c>
      <c r="K13" s="12">
        <v>5.2138</v>
      </c>
      <c r="L13" s="12">
        <v>0</v>
      </c>
      <c r="M13" s="12">
        <v>0</v>
      </c>
      <c r="N13" s="12">
        <v>8.2501999999999995</v>
      </c>
      <c r="O13" s="12">
        <v>0</v>
      </c>
      <c r="P13" s="12">
        <v>0</v>
      </c>
      <c r="Q13" s="12">
        <v>4.7099000000000002</v>
      </c>
      <c r="R13" s="12">
        <v>0</v>
      </c>
      <c r="S13" s="12">
        <v>0</v>
      </c>
      <c r="T13" s="12">
        <v>25.845400000000001</v>
      </c>
      <c r="U13" s="12">
        <v>5.12</v>
      </c>
      <c r="V13" s="12">
        <v>19.810101604153928</v>
      </c>
      <c r="W13" s="12">
        <v>17.5503</v>
      </c>
      <c r="X13" s="12">
        <v>0.85</v>
      </c>
      <c r="Y13" s="12">
        <v>4.8432220531842765</v>
      </c>
      <c r="Z13" s="12">
        <v>189.85579999999999</v>
      </c>
      <c r="AA13" s="12">
        <v>1.1565000000000001</v>
      </c>
      <c r="AB13" s="12">
        <v>0.60914652067516517</v>
      </c>
      <c r="AC13" s="12">
        <v>26.902699999999999</v>
      </c>
      <c r="AD13" s="12">
        <v>4.0000999999999998</v>
      </c>
      <c r="AE13" s="12">
        <v>14.868767818843462</v>
      </c>
      <c r="AF13" s="12">
        <v>42.249600000000001</v>
      </c>
      <c r="AG13" s="12">
        <v>3.8119000000000001</v>
      </c>
      <c r="AH13" s="12">
        <v>9.0223339392562298</v>
      </c>
      <c r="AI13" s="12">
        <v>17.7883</v>
      </c>
      <c r="AJ13" s="12">
        <v>1.8185</v>
      </c>
      <c r="AK13" s="12">
        <v>10.223011754917559</v>
      </c>
      <c r="AL13" s="12">
        <v>40.856699999999996</v>
      </c>
      <c r="AM13" s="12">
        <v>7.2290000000000001</v>
      </c>
      <c r="AN13" s="12">
        <v>17.693548426573859</v>
      </c>
      <c r="AO13" s="12">
        <v>45.052700000000002</v>
      </c>
      <c r="AP13" s="12">
        <v>8.0891999999999999</v>
      </c>
      <c r="AQ13" s="12">
        <v>17.954972731933935</v>
      </c>
      <c r="AR13" s="12">
        <v>4.3093000000000004</v>
      </c>
      <c r="AS13" s="12">
        <v>3.2978000000000001</v>
      </c>
      <c r="AT13" s="12">
        <v>76.527510268489067</v>
      </c>
      <c r="AU13" s="12">
        <v>16.744900000000001</v>
      </c>
      <c r="AV13" s="12">
        <v>1.1395</v>
      </c>
      <c r="AW13" s="12">
        <v>6.805057062150266</v>
      </c>
      <c r="AX13" s="12">
        <v>56.868299999999998</v>
      </c>
      <c r="AY13" s="12">
        <v>11.7806</v>
      </c>
      <c r="AZ13" s="12">
        <v>20.715583198372382</v>
      </c>
      <c r="BA13" s="12">
        <v>68.993600000000001</v>
      </c>
      <c r="BB13" s="12">
        <v>10.7285</v>
      </c>
      <c r="BC13" s="12">
        <v>15.549993042832957</v>
      </c>
      <c r="BD13" s="12">
        <v>57.667299999999997</v>
      </c>
      <c r="BE13" s="12">
        <v>7.0166000000000004</v>
      </c>
      <c r="BF13" s="12">
        <v>12.16738082067307</v>
      </c>
      <c r="BG13" s="12">
        <v>158.17359999999999</v>
      </c>
      <c r="BH13" s="12">
        <v>20.3306</v>
      </c>
      <c r="BI13" s="12">
        <v>12.853345943950192</v>
      </c>
      <c r="BJ13" s="12">
        <v>86.100099999999998</v>
      </c>
      <c r="BK13" s="12">
        <v>8.8598999999999997</v>
      </c>
      <c r="BL13" s="12">
        <v>10.290231950950115</v>
      </c>
      <c r="BM13" s="12">
        <v>99.224400000000003</v>
      </c>
      <c r="BN13" s="12">
        <v>6.9569999999999999</v>
      </c>
      <c r="BO13" s="12">
        <v>7.0113802653379604</v>
      </c>
      <c r="BP13" s="12">
        <v>141.9991</v>
      </c>
      <c r="BQ13" s="12">
        <v>61.896500000000003</v>
      </c>
      <c r="BR13" s="57">
        <v>60.603499999999997</v>
      </c>
      <c r="BS13" s="57">
        <v>101.2816</v>
      </c>
      <c r="BT13" s="57">
        <v>136.5523</v>
      </c>
      <c r="BU13" s="12">
        <v>132.20830000000001</v>
      </c>
      <c r="BV13" s="57">
        <v>124.72029999999999</v>
      </c>
      <c r="BW13" s="81">
        <v>143.55360000000002</v>
      </c>
      <c r="BX13" s="12">
        <v>127.3882</v>
      </c>
      <c r="BY13" s="109">
        <v>210.63890000000001</v>
      </c>
      <c r="BZ13" s="12">
        <v>219.017</v>
      </c>
      <c r="CA13" s="12">
        <v>180.43290000000002</v>
      </c>
      <c r="CB13" s="12">
        <v>210.82040000000001</v>
      </c>
      <c r="CC13" s="12">
        <v>131.28870000000001</v>
      </c>
      <c r="CD13" s="12">
        <v>44.805199999999999</v>
      </c>
      <c r="CE13" s="81">
        <v>197.3767</v>
      </c>
      <c r="CF13" s="12">
        <v>154.8459</v>
      </c>
      <c r="CG13" s="12">
        <v>29.7822</v>
      </c>
      <c r="CH13" s="12">
        <v>219.43720000000002</v>
      </c>
      <c r="CI13" s="13">
        <v>313.4024</v>
      </c>
      <c r="CJ13" s="13">
        <f>88.408+105.6537</f>
        <v>194.0617</v>
      </c>
      <c r="CK13" s="13">
        <v>288.2722</v>
      </c>
      <c r="CL13" s="13">
        <v>255.54130000000001</v>
      </c>
      <c r="CM13" s="13">
        <f>120.8022+148.4901</f>
        <v>269.29230000000001</v>
      </c>
      <c r="CN13" s="13">
        <f>78.8924+89.6512</f>
        <v>168.5436</v>
      </c>
      <c r="CO13" s="13">
        <f>114.4408+163.8802</f>
        <v>278.32100000000003</v>
      </c>
      <c r="CP13" s="12">
        <f>201.6391+286.1093</f>
        <v>487.74840000000006</v>
      </c>
      <c r="CQ13" s="12">
        <f>224.535+294.9977</f>
        <v>519.53269999999998</v>
      </c>
    </row>
    <row r="14" spans="1:95" ht="15.75" x14ac:dyDescent="0.25">
      <c r="A14" s="17" t="s">
        <v>59</v>
      </c>
      <c r="B14" s="18">
        <v>591.02239999999995</v>
      </c>
      <c r="C14" s="18">
        <v>1.5927</v>
      </c>
      <c r="D14" s="18">
        <v>0.26948217191091201</v>
      </c>
      <c r="E14" s="18">
        <v>818.87480000000005</v>
      </c>
      <c r="F14" s="18">
        <v>1.0475000000000001</v>
      </c>
      <c r="G14" s="18">
        <v>0.12791943286079874</v>
      </c>
      <c r="H14" s="18">
        <v>983.28240000000005</v>
      </c>
      <c r="I14" s="18">
        <v>0.81399999999999995</v>
      </c>
      <c r="J14" s="18">
        <v>8.2783948944880933E-2</v>
      </c>
      <c r="K14" s="18">
        <v>3198.9866999999999</v>
      </c>
      <c r="L14" s="18">
        <v>0.374</v>
      </c>
      <c r="M14" s="18">
        <v>1.1691202092212513E-2</v>
      </c>
      <c r="N14" s="18">
        <v>5178.9809000000005</v>
      </c>
      <c r="O14" s="18">
        <v>48.448099999999997</v>
      </c>
      <c r="P14" s="18">
        <v>0.93547554886715245</v>
      </c>
      <c r="Q14" s="18">
        <v>2432.1909999999998</v>
      </c>
      <c r="R14" s="18">
        <v>16.9941</v>
      </c>
      <c r="S14" s="18">
        <v>0.69871568474679824</v>
      </c>
      <c r="T14" s="18">
        <v>5174.1090000000004</v>
      </c>
      <c r="U14" s="18">
        <v>62.9968</v>
      </c>
      <c r="V14" s="18">
        <v>1.2175390970696598</v>
      </c>
      <c r="W14" s="18">
        <v>2575.8490000000002</v>
      </c>
      <c r="X14" s="18">
        <v>41.385399999999997</v>
      </c>
      <c r="Y14" s="18">
        <v>1.6066702667741781</v>
      </c>
      <c r="Z14" s="18">
        <v>2572.8841000000002</v>
      </c>
      <c r="AA14" s="18">
        <v>37.104199999999999</v>
      </c>
      <c r="AB14" s="18">
        <v>1.4421248123846697</v>
      </c>
      <c r="AC14" s="18">
        <v>3606.1365999999998</v>
      </c>
      <c r="AD14" s="18">
        <v>142.42179999999999</v>
      </c>
      <c r="AE14" s="18">
        <v>3.9494288707754439</v>
      </c>
      <c r="AF14" s="18">
        <v>6727.0852999999997</v>
      </c>
      <c r="AG14" s="18">
        <v>190.60419999999999</v>
      </c>
      <c r="AH14" s="18">
        <v>2.8333846160684182</v>
      </c>
      <c r="AI14" s="18">
        <v>3165.3758000000007</v>
      </c>
      <c r="AJ14" s="18">
        <v>173.11709999999999</v>
      </c>
      <c r="AK14" s="18">
        <v>5.4690852188861729</v>
      </c>
      <c r="AL14" s="18">
        <v>10146.858200000001</v>
      </c>
      <c r="AM14" s="18">
        <v>326.49290000000002</v>
      </c>
      <c r="AN14" s="18">
        <v>3.217674806966357</v>
      </c>
      <c r="AO14" s="18">
        <v>8092.2749999999996</v>
      </c>
      <c r="AP14" s="18">
        <v>229.8939</v>
      </c>
      <c r="AQ14" s="18">
        <v>2.84090567856382</v>
      </c>
      <c r="AR14" s="18">
        <v>6665.1090199999999</v>
      </c>
      <c r="AS14" s="18">
        <v>195.0641</v>
      </c>
      <c r="AT14" s="18">
        <v>2.9266453018948519</v>
      </c>
      <c r="AU14" s="18">
        <v>6191.1566999999995</v>
      </c>
      <c r="AV14" s="18">
        <v>170.22789999999998</v>
      </c>
      <c r="AW14" s="18">
        <v>2.7495330557535396</v>
      </c>
      <c r="AX14" s="18">
        <v>8867.4698000000008</v>
      </c>
      <c r="AY14" s="18">
        <v>342.5274</v>
      </c>
      <c r="AZ14" s="18">
        <v>3.8627410944213194</v>
      </c>
      <c r="BA14" s="18">
        <v>8201.7075000000004</v>
      </c>
      <c r="BB14" s="18">
        <v>382.02679999999998</v>
      </c>
      <c r="BC14" s="18">
        <v>4.6578934935194889</v>
      </c>
      <c r="BD14" s="18">
        <v>7826.1009999999997</v>
      </c>
      <c r="BE14" s="18">
        <v>353.12219999999996</v>
      </c>
      <c r="BF14" s="18">
        <v>4.5121089032712458</v>
      </c>
      <c r="BG14" s="18">
        <v>11284.408500000001</v>
      </c>
      <c r="BH14" s="18">
        <v>636.48419999999987</v>
      </c>
      <c r="BI14" s="18">
        <v>5.6403860246640294</v>
      </c>
      <c r="BJ14" s="18">
        <v>10835.571599999999</v>
      </c>
      <c r="BK14" s="18">
        <v>639.80550000000005</v>
      </c>
      <c r="BL14" s="18">
        <v>5.9046769623118003</v>
      </c>
      <c r="BM14" s="18">
        <v>10849.695899999999</v>
      </c>
      <c r="BN14" s="18">
        <v>607.57289999999989</v>
      </c>
      <c r="BO14" s="18">
        <v>5.5999071826520037</v>
      </c>
      <c r="BP14" s="18">
        <v>849.351</v>
      </c>
      <c r="BQ14" s="18">
        <v>781.4217000000001</v>
      </c>
      <c r="BR14" s="75">
        <v>736.19049999999993</v>
      </c>
      <c r="BS14" s="59">
        <v>1087.2013999999999</v>
      </c>
      <c r="BT14" s="59">
        <v>1111.7489</v>
      </c>
      <c r="BU14" s="59">
        <v>1089.2229</v>
      </c>
      <c r="BV14" s="59">
        <v>1767.3712999999998</v>
      </c>
      <c r="BW14" s="88">
        <v>1215.298</v>
      </c>
      <c r="BX14" s="88">
        <v>1151.1311999999998</v>
      </c>
      <c r="BY14" s="88">
        <v>1409.4804999999999</v>
      </c>
      <c r="BZ14" s="88">
        <v>1250.0585999999998</v>
      </c>
      <c r="CA14" s="88">
        <v>1183.0163</v>
      </c>
      <c r="CB14" s="88">
        <v>1506.9982000000002</v>
      </c>
      <c r="CC14" s="88">
        <v>1430.8404</v>
      </c>
      <c r="CD14" s="88">
        <v>1143.2528999999997</v>
      </c>
      <c r="CE14" s="88">
        <v>2043.3703000000003</v>
      </c>
      <c r="CF14" s="59">
        <v>2008.0355</v>
      </c>
      <c r="CG14" s="59">
        <v>1621.3718000000003</v>
      </c>
      <c r="CH14" s="59">
        <v>2205.9145999999996</v>
      </c>
      <c r="CI14" s="59">
        <v>2767.3638000000001</v>
      </c>
      <c r="CJ14" s="59">
        <f>SUM(CJ12:CJ13)</f>
        <v>2289.6420999999996</v>
      </c>
      <c r="CK14" s="59">
        <v>3005.8555999999999</v>
      </c>
      <c r="CL14" s="59">
        <v>3066.7848999999997</v>
      </c>
      <c r="CM14" s="85">
        <f>SUM(CM12:CM13)</f>
        <v>3151.9298000000003</v>
      </c>
      <c r="CN14" s="85">
        <f>SUM(CN12:CN13)</f>
        <v>2667.9553999999998</v>
      </c>
      <c r="CO14" s="85">
        <f>SUM(CO12:CO13)</f>
        <v>3382.0916000000002</v>
      </c>
      <c r="CP14" s="85">
        <f>SUM(CP12:CP13)</f>
        <v>3552.9807000000001</v>
      </c>
      <c r="CQ14" s="85">
        <f>SUM(CQ12:CQ13)</f>
        <v>3952.1913000000004</v>
      </c>
    </row>
    <row r="15" spans="1:95" ht="15.75" x14ac:dyDescent="0.25">
      <c r="A15" s="16" t="s">
        <v>60</v>
      </c>
      <c r="B15" s="12">
        <v>13.5512</v>
      </c>
      <c r="C15" s="12">
        <v>0</v>
      </c>
      <c r="D15" s="12">
        <v>0</v>
      </c>
      <c r="E15" s="12">
        <v>13.657400000000001</v>
      </c>
      <c r="F15" s="12">
        <v>0</v>
      </c>
      <c r="G15" s="12">
        <v>0</v>
      </c>
      <c r="H15" s="12">
        <v>7.3560999999999996</v>
      </c>
      <c r="I15" s="12">
        <v>0</v>
      </c>
      <c r="J15" s="12">
        <v>0</v>
      </c>
      <c r="K15" s="12">
        <v>12.115500000000001</v>
      </c>
      <c r="L15" s="12">
        <v>0</v>
      </c>
      <c r="M15" s="12">
        <v>0</v>
      </c>
      <c r="N15" s="12">
        <v>34.045099999999998</v>
      </c>
      <c r="O15" s="12">
        <v>1.5780000000000001</v>
      </c>
      <c r="P15" s="12">
        <v>4.6350282419496498</v>
      </c>
      <c r="Q15" s="12">
        <v>23.8169</v>
      </c>
      <c r="R15" s="12">
        <v>0</v>
      </c>
      <c r="S15" s="12">
        <v>0</v>
      </c>
      <c r="T15" s="12">
        <v>39.227800000000002</v>
      </c>
      <c r="U15" s="12">
        <v>2.35</v>
      </c>
      <c r="V15" s="12">
        <v>5.990649488373041</v>
      </c>
      <c r="W15" s="12">
        <v>23.947099999999999</v>
      </c>
      <c r="X15" s="12">
        <v>1.7242</v>
      </c>
      <c r="Y15" s="12">
        <v>7.2000367476646439</v>
      </c>
      <c r="Z15" s="12">
        <v>21.727399999999999</v>
      </c>
      <c r="AA15" s="12">
        <v>1.5967</v>
      </c>
      <c r="AB15" s="12">
        <v>7.3487854046043246</v>
      </c>
      <c r="AC15" s="12">
        <v>53.795299999999997</v>
      </c>
      <c r="AD15" s="12">
        <v>4.5380000000000003</v>
      </c>
      <c r="AE15" s="12">
        <v>8.4356811840439594</v>
      </c>
      <c r="AF15" s="12">
        <v>35.174999999999997</v>
      </c>
      <c r="AG15" s="12">
        <v>1.8360000000000001</v>
      </c>
      <c r="AH15" s="12">
        <v>5.2196162046908325</v>
      </c>
      <c r="AI15" s="12">
        <v>26.380299999999998</v>
      </c>
      <c r="AJ15" s="12">
        <v>0.40799999999999997</v>
      </c>
      <c r="AK15" s="12">
        <v>1.5466086435711497</v>
      </c>
      <c r="AL15" s="12">
        <v>59.890700000000002</v>
      </c>
      <c r="AM15" s="12">
        <v>3.9735</v>
      </c>
      <c r="AN15" s="12">
        <v>6.6345860041709308</v>
      </c>
      <c r="AO15" s="12">
        <v>51.9666</v>
      </c>
      <c r="AP15" s="12">
        <v>4.3375000000000004</v>
      </c>
      <c r="AQ15" s="12">
        <v>8.346707308155624</v>
      </c>
      <c r="AR15" s="12">
        <v>40.881599999999999</v>
      </c>
      <c r="AS15" s="12">
        <v>3.0209999999999999</v>
      </c>
      <c r="AT15" s="12">
        <v>7.3896324997064697</v>
      </c>
      <c r="AU15" s="12">
        <v>33.451799999999999</v>
      </c>
      <c r="AV15" s="12">
        <v>2.6743000000000001</v>
      </c>
      <c r="AW15" s="12">
        <v>7.9944875911012261</v>
      </c>
      <c r="AX15" s="12">
        <v>41.660600000000002</v>
      </c>
      <c r="AY15" s="12">
        <v>5.5835999999999997</v>
      </c>
      <c r="AZ15" s="12">
        <v>13.402591417310358</v>
      </c>
      <c r="BA15" s="12">
        <v>39.554699999999997</v>
      </c>
      <c r="BB15" s="12">
        <v>4.0799000000000003</v>
      </c>
      <c r="BC15" s="12">
        <v>10.314577028772815</v>
      </c>
      <c r="BD15" s="12">
        <v>32.3855</v>
      </c>
      <c r="BE15" s="12">
        <v>2.2585999999999999</v>
      </c>
      <c r="BF15" s="12">
        <v>6.9741087832517632</v>
      </c>
      <c r="BG15" s="12">
        <v>35.822400000000002</v>
      </c>
      <c r="BH15" s="12">
        <v>1.7326999999999999</v>
      </c>
      <c r="BI15" s="12">
        <v>4.8369176827906557</v>
      </c>
      <c r="BJ15" s="12">
        <v>39.3018</v>
      </c>
      <c r="BK15" s="12">
        <v>2.8245</v>
      </c>
      <c r="BL15" s="12">
        <v>7.1866937392180512</v>
      </c>
      <c r="BM15" s="12">
        <v>33.962400000000002</v>
      </c>
      <c r="BN15" s="12">
        <v>2.0476000000000001</v>
      </c>
      <c r="BO15" s="12">
        <v>6.0290203283631305</v>
      </c>
      <c r="BP15" s="12">
        <v>1.3833</v>
      </c>
      <c r="BQ15" s="12">
        <v>1.4188999999999998</v>
      </c>
      <c r="BR15" s="57">
        <v>0.29799999999999999</v>
      </c>
      <c r="BS15" s="57">
        <v>1.5524</v>
      </c>
      <c r="BT15" s="57">
        <v>0.26580000000000004</v>
      </c>
      <c r="BU15" s="12">
        <v>0.21959999999999999</v>
      </c>
      <c r="BV15" s="57">
        <v>0.3453</v>
      </c>
      <c r="BW15" s="81">
        <v>0.40110000000000001</v>
      </c>
      <c r="BX15" s="12">
        <v>0.26829999999999998</v>
      </c>
      <c r="BY15" s="109">
        <v>1.1276999999999999</v>
      </c>
      <c r="BZ15" s="12">
        <v>1.2612000000000001</v>
      </c>
      <c r="CA15" s="12">
        <v>1.238</v>
      </c>
      <c r="CB15" s="12">
        <v>1.1260000000000001</v>
      </c>
      <c r="CC15" s="12">
        <v>1.4370000000000001</v>
      </c>
      <c r="CD15" s="12">
        <v>0.70130000000000003</v>
      </c>
      <c r="CE15" s="81">
        <v>5.9276999999999997</v>
      </c>
      <c r="CF15" s="12">
        <v>1.6568000000000001</v>
      </c>
      <c r="CG15" s="12">
        <v>0.65060000000000007</v>
      </c>
      <c r="CH15" s="12">
        <v>3.0914000000000001</v>
      </c>
      <c r="CI15" s="13">
        <v>0.92300000000000004</v>
      </c>
      <c r="CJ15" s="13">
        <v>0.61929999999999996</v>
      </c>
      <c r="CK15" s="13">
        <v>1.9218999999999999</v>
      </c>
      <c r="CL15" s="32">
        <v>1.9218999999999999</v>
      </c>
      <c r="CM15" s="13">
        <f>0.8335+0.0002</f>
        <v>0.8337</v>
      </c>
      <c r="CN15" s="13">
        <v>0.56359999999999999</v>
      </c>
      <c r="CO15" s="13">
        <f>1.2036+0.0002</f>
        <v>1.2038</v>
      </c>
      <c r="CP15" s="13">
        <f>0.8525+0.0002</f>
        <v>0.85270000000000001</v>
      </c>
      <c r="CQ15" s="13">
        <f>0.9536+0.0002</f>
        <v>0.95379999999999998</v>
      </c>
    </row>
    <row r="16" spans="1:95" ht="15.75" x14ac:dyDescent="0.25">
      <c r="A16" s="16" t="s">
        <v>61</v>
      </c>
      <c r="B16" s="12">
        <v>10.3414</v>
      </c>
      <c r="C16" s="12">
        <v>0</v>
      </c>
      <c r="D16" s="12">
        <v>0</v>
      </c>
      <c r="E16" s="12">
        <v>15.1439</v>
      </c>
      <c r="F16" s="12">
        <v>0</v>
      </c>
      <c r="G16" s="12">
        <v>0</v>
      </c>
      <c r="H16" s="12">
        <v>32.664400000000001</v>
      </c>
      <c r="I16" s="12">
        <v>0</v>
      </c>
      <c r="J16" s="12">
        <v>0</v>
      </c>
      <c r="K16" s="12">
        <v>46.931899999999999</v>
      </c>
      <c r="L16" s="12">
        <v>0</v>
      </c>
      <c r="M16" s="12">
        <v>0</v>
      </c>
      <c r="N16" s="12">
        <v>72.299800000000005</v>
      </c>
      <c r="O16" s="12">
        <v>4.7244999999999999</v>
      </c>
      <c r="P16" s="12">
        <v>6.5345962229494408</v>
      </c>
      <c r="Q16" s="12">
        <v>61.8626</v>
      </c>
      <c r="R16" s="12">
        <v>2.7241</v>
      </c>
      <c r="S16" s="12">
        <v>4.4034683314312684</v>
      </c>
      <c r="T16" s="12">
        <v>75.416499999999999</v>
      </c>
      <c r="U16" s="12">
        <v>13.9154</v>
      </c>
      <c r="V16" s="12">
        <v>18.451399892596449</v>
      </c>
      <c r="W16" s="12">
        <v>79.738</v>
      </c>
      <c r="X16" s="12">
        <v>12.523300000000001</v>
      </c>
      <c r="Y16" s="12">
        <v>15.705560711329605</v>
      </c>
      <c r="Z16" s="12">
        <v>68.409300000000002</v>
      </c>
      <c r="AA16" s="12">
        <v>8.4421999999999997</v>
      </c>
      <c r="AB16" s="12">
        <v>12.340719755939615</v>
      </c>
      <c r="AC16" s="12">
        <v>63.290199999999999</v>
      </c>
      <c r="AD16" s="12">
        <v>9.2256999999999998</v>
      </c>
      <c r="AE16" s="12">
        <v>14.576822320043229</v>
      </c>
      <c r="AF16" s="12">
        <v>43.188800000000001</v>
      </c>
      <c r="AG16" s="12">
        <v>5.8761999999999999</v>
      </c>
      <c r="AH16" s="12">
        <v>13.605842255399548</v>
      </c>
      <c r="AI16" s="12">
        <v>30.372899999999998</v>
      </c>
      <c r="AJ16" s="12">
        <v>3.1061000000000001</v>
      </c>
      <c r="AK16" s="12">
        <v>10.226550642184316</v>
      </c>
      <c r="AL16" s="12">
        <v>50.895800000000001</v>
      </c>
      <c r="AM16" s="12">
        <v>13.1372</v>
      </c>
      <c r="AN16" s="12">
        <v>25.811953049170999</v>
      </c>
      <c r="AO16" s="12">
        <v>44.895800000000001</v>
      </c>
      <c r="AP16" s="12">
        <v>13.1372</v>
      </c>
      <c r="AQ16" s="12">
        <v>29.261534486522123</v>
      </c>
      <c r="AR16" s="12">
        <v>26.250399999999999</v>
      </c>
      <c r="AS16" s="12">
        <v>7.1643999999999997</v>
      </c>
      <c r="AT16" s="12">
        <v>27.292536494681986</v>
      </c>
      <c r="AU16" s="12">
        <v>15.319900000000001</v>
      </c>
      <c r="AV16" s="12">
        <v>2.7261000000000002</v>
      </c>
      <c r="AW16" s="12">
        <v>17.794502575082085</v>
      </c>
      <c r="AX16" s="12">
        <v>15.845599999999999</v>
      </c>
      <c r="AY16" s="12">
        <v>4.0667</v>
      </c>
      <c r="AZ16" s="12">
        <v>25.664537789670323</v>
      </c>
      <c r="BA16" s="12">
        <v>59.391500000000001</v>
      </c>
      <c r="BB16" s="12">
        <v>2.4697</v>
      </c>
      <c r="BC16" s="12">
        <v>4.158339156276571</v>
      </c>
      <c r="BD16" s="12">
        <v>56.881599999999999</v>
      </c>
      <c r="BE16" s="12">
        <v>1.4362999999999999</v>
      </c>
      <c r="BF16" s="12">
        <v>2.525069618294844</v>
      </c>
      <c r="BG16" s="12">
        <v>32.670999999999999</v>
      </c>
      <c r="BH16" s="12">
        <v>7.8939000000000004</v>
      </c>
      <c r="BI16" s="12">
        <v>24.161794863946621</v>
      </c>
      <c r="BJ16" s="12">
        <v>24.9937</v>
      </c>
      <c r="BK16" s="12">
        <v>6.1913999999999998</v>
      </c>
      <c r="BL16" s="12">
        <v>24.771842504311085</v>
      </c>
      <c r="BM16" s="12">
        <v>19.849299999999999</v>
      </c>
      <c r="BN16" s="12">
        <v>3.2115</v>
      </c>
      <c r="BO16" s="12">
        <v>16.179411868428613</v>
      </c>
      <c r="BP16" s="12">
        <v>9.0876999999999999</v>
      </c>
      <c r="BQ16" s="12">
        <v>7.7669999999999995</v>
      </c>
      <c r="BR16" s="57">
        <v>4.1462000000000003</v>
      </c>
      <c r="BS16" s="57">
        <v>7.3279999999999994</v>
      </c>
      <c r="BT16" s="57">
        <v>1.6004</v>
      </c>
      <c r="BU16" s="12">
        <v>1.2448999999999999</v>
      </c>
      <c r="BV16" s="57">
        <v>2.6647999999999996</v>
      </c>
      <c r="BW16" s="81">
        <v>0.28039999999999998</v>
      </c>
      <c r="BX16" s="12">
        <v>0.13170000000000001</v>
      </c>
      <c r="BY16" s="109">
        <v>7.3295000000000003</v>
      </c>
      <c r="BZ16" s="12">
        <v>2.8891</v>
      </c>
      <c r="CA16" s="12">
        <v>2.0087999999999999</v>
      </c>
      <c r="CB16" s="12">
        <v>3.0528999999999997</v>
      </c>
      <c r="CC16" s="12">
        <v>2.4628000000000001</v>
      </c>
      <c r="CD16" s="12">
        <v>0.97850000000000004</v>
      </c>
      <c r="CE16" s="81">
        <v>7.1430000000000007</v>
      </c>
      <c r="CF16" s="12">
        <v>4.6431000000000004</v>
      </c>
      <c r="CG16" s="12">
        <v>2.2359</v>
      </c>
      <c r="CH16" s="12">
        <v>3.0005999999999999</v>
      </c>
      <c r="CI16" s="13">
        <v>7.4215</v>
      </c>
      <c r="CJ16" s="13">
        <f>3.2148+2.78</f>
        <v>5.9947999999999997</v>
      </c>
      <c r="CK16" s="13">
        <v>2.6261000000000001</v>
      </c>
      <c r="CL16" s="13">
        <v>8.4260000000000002</v>
      </c>
      <c r="CM16" s="13">
        <f>2.9584+0.4674</f>
        <v>3.4258000000000002</v>
      </c>
      <c r="CN16" s="13">
        <v>1.9755</v>
      </c>
      <c r="CO16" s="13">
        <f>0.0006+0.0002</f>
        <v>7.9999999999999993E-4</v>
      </c>
      <c r="CP16" s="13">
        <f>0.0006+0.0002</f>
        <v>7.9999999999999993E-4</v>
      </c>
      <c r="CQ16" s="13">
        <f>0.0006+0.0002</f>
        <v>7.9999999999999993E-4</v>
      </c>
    </row>
    <row r="17" spans="1:95" ht="15.75" x14ac:dyDescent="0.25">
      <c r="A17" s="17" t="s">
        <v>62</v>
      </c>
      <c r="B17" s="18">
        <v>23.892600000000002</v>
      </c>
      <c r="C17" s="18">
        <v>0</v>
      </c>
      <c r="D17" s="18">
        <v>0</v>
      </c>
      <c r="E17" s="18">
        <v>28.801300000000001</v>
      </c>
      <c r="F17" s="18">
        <v>0</v>
      </c>
      <c r="G17" s="18">
        <v>0</v>
      </c>
      <c r="H17" s="18">
        <v>40.020499999999998</v>
      </c>
      <c r="I17" s="18">
        <v>0</v>
      </c>
      <c r="J17" s="18">
        <v>0</v>
      </c>
      <c r="K17" s="18">
        <v>59.047399999999996</v>
      </c>
      <c r="L17" s="18">
        <v>0</v>
      </c>
      <c r="M17" s="18">
        <v>0</v>
      </c>
      <c r="N17" s="18">
        <v>106.3449</v>
      </c>
      <c r="O17" s="18">
        <v>6.3025000000000002</v>
      </c>
      <c r="P17" s="18">
        <v>5.9264713211446916</v>
      </c>
      <c r="Q17" s="18">
        <v>85.679500000000004</v>
      </c>
      <c r="R17" s="18">
        <v>2.7241</v>
      </c>
      <c r="S17" s="18">
        <v>3.1794069759977588</v>
      </c>
      <c r="T17" s="18">
        <v>114.6443</v>
      </c>
      <c r="U17" s="18">
        <v>16.2654</v>
      </c>
      <c r="V17" s="18">
        <v>14.187709288643221</v>
      </c>
      <c r="W17" s="18">
        <v>103.68510000000001</v>
      </c>
      <c r="X17" s="18">
        <v>14.2475</v>
      </c>
      <c r="Y17" s="18">
        <v>13.741125774098689</v>
      </c>
      <c r="Z17" s="18">
        <v>90.136700000000005</v>
      </c>
      <c r="AA17" s="18">
        <v>10.0389</v>
      </c>
      <c r="AB17" s="18">
        <v>11.137416834652255</v>
      </c>
      <c r="AC17" s="18">
        <v>117.0855</v>
      </c>
      <c r="AD17" s="18">
        <v>13.7637</v>
      </c>
      <c r="AE17" s="18">
        <v>11.755255774626235</v>
      </c>
      <c r="AF17" s="18">
        <v>78.363799999999998</v>
      </c>
      <c r="AG17" s="18">
        <v>7.7122000000000002</v>
      </c>
      <c r="AH17" s="18">
        <v>9.8415339735949523</v>
      </c>
      <c r="AI17" s="18">
        <v>56.753199999999993</v>
      </c>
      <c r="AJ17" s="18">
        <v>3.5141</v>
      </c>
      <c r="AK17" s="18">
        <v>6.1918975493892869</v>
      </c>
      <c r="AL17" s="18">
        <v>110.7865</v>
      </c>
      <c r="AM17" s="18">
        <v>17.110700000000001</v>
      </c>
      <c r="AN17" s="18">
        <v>15.444751842507888</v>
      </c>
      <c r="AO17" s="18">
        <v>96.862399999999994</v>
      </c>
      <c r="AP17" s="18">
        <v>17.474699999999999</v>
      </c>
      <c r="AQ17" s="18">
        <v>18.040746460959049</v>
      </c>
      <c r="AR17" s="18">
        <v>67.132000000000005</v>
      </c>
      <c r="AS17" s="18">
        <v>10.1854</v>
      </c>
      <c r="AT17" s="18">
        <v>15.172198057558242</v>
      </c>
      <c r="AU17" s="18">
        <v>48.771699999999996</v>
      </c>
      <c r="AV17" s="18">
        <v>5.4004000000000003</v>
      </c>
      <c r="AW17" s="18">
        <v>11.072814767580381</v>
      </c>
      <c r="AX17" s="18">
        <v>57.5062</v>
      </c>
      <c r="AY17" s="18">
        <v>9.6502999999999997</v>
      </c>
      <c r="AZ17" s="18">
        <v>16.781320970608384</v>
      </c>
      <c r="BA17" s="18">
        <v>98.946200000000005</v>
      </c>
      <c r="BB17" s="18">
        <v>6.5495999999999999</v>
      </c>
      <c r="BC17" s="18">
        <v>6.6193547604657885</v>
      </c>
      <c r="BD17" s="18">
        <v>89.267099999999999</v>
      </c>
      <c r="BE17" s="18">
        <v>3.6948999999999996</v>
      </c>
      <c r="BF17" s="18">
        <v>4.1391509301859246</v>
      </c>
      <c r="BG17" s="18">
        <v>68.493400000000008</v>
      </c>
      <c r="BH17" s="18">
        <v>9.6265999999999998</v>
      </c>
      <c r="BI17" s="18">
        <v>14.054784840583178</v>
      </c>
      <c r="BJ17" s="18">
        <v>64.295500000000004</v>
      </c>
      <c r="BK17" s="18">
        <v>9.0159000000000002</v>
      </c>
      <c r="BL17" s="18">
        <v>14.022598782185378</v>
      </c>
      <c r="BM17" s="18">
        <v>53.811700000000002</v>
      </c>
      <c r="BN17" s="18">
        <v>5.2591000000000001</v>
      </c>
      <c r="BO17" s="18">
        <v>9.773153422025322</v>
      </c>
      <c r="BP17" s="18">
        <v>10.471</v>
      </c>
      <c r="BQ17" s="18">
        <v>9.1859000000000002</v>
      </c>
      <c r="BR17" s="76">
        <v>4.4442000000000004</v>
      </c>
      <c r="BS17" s="59">
        <v>8.8803999999999998</v>
      </c>
      <c r="BT17" s="59">
        <v>1.8662000000000001</v>
      </c>
      <c r="BU17" s="20">
        <v>1.4644999999999999</v>
      </c>
      <c r="BV17" s="59">
        <v>3.0100999999999996</v>
      </c>
      <c r="BW17" s="89">
        <v>0.68149999999999999</v>
      </c>
      <c r="BX17" s="89">
        <v>0.4</v>
      </c>
      <c r="BY17" s="89">
        <v>8.4572000000000003</v>
      </c>
      <c r="BZ17" s="89">
        <v>4.1502999999999997</v>
      </c>
      <c r="CA17" s="89">
        <v>3.2467999999999999</v>
      </c>
      <c r="CB17" s="89">
        <v>4.1788999999999996</v>
      </c>
      <c r="CC17" s="89">
        <v>3.8997999999999999</v>
      </c>
      <c r="CD17" s="89">
        <v>1.6798000000000002</v>
      </c>
      <c r="CE17" s="89">
        <v>13.0707</v>
      </c>
      <c r="CF17" s="20">
        <v>6.2999000000000009</v>
      </c>
      <c r="CG17" s="20">
        <v>2.8864999999999998</v>
      </c>
      <c r="CH17" s="20">
        <v>6.0920000000000005</v>
      </c>
      <c r="CI17" s="20">
        <v>8.3445</v>
      </c>
      <c r="CJ17" s="20">
        <f>SUM(CJ15:CJ16)</f>
        <v>6.6140999999999996</v>
      </c>
      <c r="CK17" s="20">
        <v>4.548</v>
      </c>
      <c r="CL17" s="20">
        <v>10.347899999999999</v>
      </c>
      <c r="CM17" s="85">
        <f>SUM(CM15:CM16)</f>
        <v>4.2595000000000001</v>
      </c>
      <c r="CN17" s="85">
        <f>SUM(CN15:CN16)</f>
        <v>2.5390999999999999</v>
      </c>
      <c r="CO17" s="85">
        <f>SUM(CO15:CO16)</f>
        <v>1.2045999999999999</v>
      </c>
      <c r="CP17" s="85">
        <f>SUM(CP15:CP16)</f>
        <v>0.85350000000000004</v>
      </c>
      <c r="CQ17" s="85">
        <f>SUM(CQ15:CQ16)</f>
        <v>0.9546</v>
      </c>
    </row>
    <row r="18" spans="1:95" ht="15.75" x14ac:dyDescent="0.25">
      <c r="A18" s="16" t="s">
        <v>63</v>
      </c>
      <c r="B18" s="12">
        <v>13.4986</v>
      </c>
      <c r="C18" s="12">
        <v>0</v>
      </c>
      <c r="D18" s="12">
        <v>0</v>
      </c>
      <c r="E18" s="12">
        <v>12.222200000000001</v>
      </c>
      <c r="F18" s="12">
        <v>0</v>
      </c>
      <c r="G18" s="12">
        <v>0</v>
      </c>
      <c r="H18" s="12">
        <v>4.7347000000000001</v>
      </c>
      <c r="I18" s="12">
        <v>0</v>
      </c>
      <c r="J18" s="12">
        <v>0</v>
      </c>
      <c r="K18" s="12">
        <v>7.7961</v>
      </c>
      <c r="L18" s="12">
        <v>0</v>
      </c>
      <c r="M18" s="12">
        <v>0</v>
      </c>
      <c r="N18" s="12">
        <v>20.7484</v>
      </c>
      <c r="O18" s="12">
        <v>0.25080000000000002</v>
      </c>
      <c r="P18" s="12">
        <v>1.2087679049950841</v>
      </c>
      <c r="Q18" s="12">
        <v>19.728400000000001</v>
      </c>
      <c r="R18" s="12">
        <v>0.247</v>
      </c>
      <c r="S18" s="12">
        <v>1.2520021897366234</v>
      </c>
      <c r="T18" s="12">
        <v>13.466799999999999</v>
      </c>
      <c r="U18" s="12">
        <v>0.3</v>
      </c>
      <c r="V18" s="12">
        <v>2.2277007158344966</v>
      </c>
      <c r="W18" s="12">
        <v>14.966699999999999</v>
      </c>
      <c r="X18" s="12">
        <v>0.17</v>
      </c>
      <c r="Y18" s="12">
        <v>1.1358549312807769</v>
      </c>
      <c r="Z18" s="12">
        <v>10.389099999999999</v>
      </c>
      <c r="AA18" s="12">
        <v>0.14219999999999999</v>
      </c>
      <c r="AB18" s="12">
        <v>1.3687422394625135</v>
      </c>
      <c r="AC18" s="12">
        <v>43.129100000000001</v>
      </c>
      <c r="AD18" s="12">
        <v>0.25</v>
      </c>
      <c r="AE18" s="12">
        <v>0.57965503569515708</v>
      </c>
      <c r="AF18" s="12">
        <v>39.351999999999997</v>
      </c>
      <c r="AG18" s="12">
        <v>0.18</v>
      </c>
      <c r="AH18" s="12">
        <v>0.45741004269160401</v>
      </c>
      <c r="AI18" s="12">
        <v>22.481299999999997</v>
      </c>
      <c r="AJ18" s="12">
        <v>0.18</v>
      </c>
      <c r="AK18" s="12">
        <v>0.80066544194508338</v>
      </c>
      <c r="AL18" s="12">
        <v>32.174399999999999</v>
      </c>
      <c r="AM18" s="12">
        <v>0.50849999999999995</v>
      </c>
      <c r="AN18" s="12">
        <v>1.5804490526629866</v>
      </c>
      <c r="AO18" s="12">
        <v>39.89</v>
      </c>
      <c r="AP18" s="12">
        <v>0.2445</v>
      </c>
      <c r="AQ18" s="12">
        <v>0.61293557282526945</v>
      </c>
      <c r="AR18" s="12">
        <v>31.5397</v>
      </c>
      <c r="AS18" s="12">
        <v>0.13320000000000001</v>
      </c>
      <c r="AT18" s="12">
        <v>0.42232487943766112</v>
      </c>
      <c r="AU18" s="12">
        <v>18.941700000000001</v>
      </c>
      <c r="AV18" s="12">
        <v>0.13320000000000001</v>
      </c>
      <c r="AW18" s="12">
        <v>0.70321037710448375</v>
      </c>
      <c r="AX18" s="12">
        <v>51.949199999999998</v>
      </c>
      <c r="AY18" s="12">
        <v>0.6472</v>
      </c>
      <c r="AZ18" s="12">
        <v>1.245832467102477</v>
      </c>
      <c r="BA18" s="12">
        <v>78.899500000000003</v>
      </c>
      <c r="BB18" s="12">
        <v>1.6786000000000001</v>
      </c>
      <c r="BC18" s="12">
        <v>2.1275166509293468</v>
      </c>
      <c r="BD18" s="12">
        <v>77.531599999999997</v>
      </c>
      <c r="BE18" s="12">
        <v>1.6780999999999999</v>
      </c>
      <c r="BF18" s="12">
        <v>2.1644078027539737</v>
      </c>
      <c r="BG18" s="12">
        <v>66.906199999999998</v>
      </c>
      <c r="BH18" s="12">
        <v>5.2602000000000002</v>
      </c>
      <c r="BI18" s="12">
        <v>7.8620516484272009</v>
      </c>
      <c r="BJ18" s="12">
        <v>41.578699999999998</v>
      </c>
      <c r="BK18" s="12">
        <v>2.7803</v>
      </c>
      <c r="BL18" s="12">
        <v>6.6868372508038982</v>
      </c>
      <c r="BM18" s="12">
        <v>38.578600000000002</v>
      </c>
      <c r="BN18" s="12">
        <v>2.7522000000000002</v>
      </c>
      <c r="BO18" s="51">
        <v>7.1340069364881051</v>
      </c>
      <c r="BP18" s="12">
        <v>4.6950000000000003</v>
      </c>
      <c r="BQ18" s="12">
        <v>4.6950000000000003</v>
      </c>
      <c r="BR18" s="57">
        <v>1.8472</v>
      </c>
      <c r="BS18" s="57">
        <v>5.1607000000000003</v>
      </c>
      <c r="BT18" s="57">
        <v>5.1607000000000003</v>
      </c>
      <c r="BU18" s="84">
        <v>4.3853</v>
      </c>
      <c r="BV18" s="57">
        <v>7.7519</v>
      </c>
      <c r="BW18" s="81">
        <v>1.7802</v>
      </c>
      <c r="BX18" s="12">
        <v>0</v>
      </c>
      <c r="BY18" s="109">
        <v>3.9881000000000002</v>
      </c>
      <c r="BZ18" s="12">
        <v>4.0105000000000004</v>
      </c>
      <c r="CA18" s="12">
        <v>0</v>
      </c>
      <c r="CB18" s="12">
        <v>11.150399999999999</v>
      </c>
      <c r="CC18" s="12">
        <v>9.9100999999999999</v>
      </c>
      <c r="CD18" s="12">
        <v>8.3335000000000008</v>
      </c>
      <c r="CE18" s="81">
        <v>12.5794</v>
      </c>
      <c r="CF18" s="12">
        <v>5.1698000000000004</v>
      </c>
      <c r="CG18" s="12">
        <v>2.2563</v>
      </c>
      <c r="CH18" s="12">
        <v>4.1901000000000002</v>
      </c>
      <c r="CI18" s="13">
        <v>2.9449999999999998</v>
      </c>
      <c r="CJ18" s="13">
        <f>2.5275</f>
        <v>2.5274999999999999</v>
      </c>
      <c r="CK18" s="13">
        <v>1.0001</v>
      </c>
      <c r="CL18" s="13">
        <v>1.0001</v>
      </c>
      <c r="CM18" s="13">
        <v>0.08</v>
      </c>
      <c r="CN18" s="13">
        <v>0</v>
      </c>
      <c r="CO18" s="12">
        <f>3.8502+2.16</f>
        <v>6.0102000000000002</v>
      </c>
      <c r="CP18" s="12">
        <f>0.0928+0.0001</f>
        <v>9.2899999999999996E-2</v>
      </c>
      <c r="CQ18" s="12">
        <f>2.5203+0.0001</f>
        <v>2.5204000000000004</v>
      </c>
    </row>
    <row r="19" spans="1:95" ht="15.75" x14ac:dyDescent="0.25">
      <c r="A19" s="16" t="s">
        <v>64</v>
      </c>
      <c r="B19" s="12">
        <v>20.884699999999999</v>
      </c>
      <c r="C19" s="12">
        <v>0</v>
      </c>
      <c r="D19" s="12">
        <v>0</v>
      </c>
      <c r="E19" s="12">
        <v>18.2073</v>
      </c>
      <c r="F19" s="12">
        <v>0</v>
      </c>
      <c r="G19" s="12">
        <v>0</v>
      </c>
      <c r="H19" s="12">
        <v>66.547600000000003</v>
      </c>
      <c r="I19" s="12">
        <v>0</v>
      </c>
      <c r="J19" s="12">
        <v>0</v>
      </c>
      <c r="K19" s="12">
        <v>1.8878999999999999</v>
      </c>
      <c r="L19" s="12">
        <v>0</v>
      </c>
      <c r="M19" s="12">
        <v>0</v>
      </c>
      <c r="N19" s="12">
        <v>10.182</v>
      </c>
      <c r="O19" s="12">
        <v>0</v>
      </c>
      <c r="P19" s="12">
        <v>0</v>
      </c>
      <c r="Q19" s="12">
        <v>78.291700000000006</v>
      </c>
      <c r="R19" s="12">
        <v>0</v>
      </c>
      <c r="S19" s="12">
        <v>0</v>
      </c>
      <c r="T19" s="12">
        <v>26.000299999999999</v>
      </c>
      <c r="U19" s="12">
        <v>0</v>
      </c>
      <c r="V19" s="12">
        <v>0</v>
      </c>
      <c r="W19" s="12">
        <v>148.96170000000001</v>
      </c>
      <c r="X19" s="12">
        <v>0</v>
      </c>
      <c r="Y19" s="12">
        <v>0</v>
      </c>
      <c r="Z19" s="12">
        <v>24.944700000000001</v>
      </c>
      <c r="AA19" s="12">
        <v>0</v>
      </c>
      <c r="AB19" s="12">
        <v>0</v>
      </c>
      <c r="AC19" s="12">
        <v>141.96279999999999</v>
      </c>
      <c r="AD19" s="12">
        <v>3.5</v>
      </c>
      <c r="AE19" s="12">
        <v>2.4654346068124893</v>
      </c>
      <c r="AF19" s="12">
        <v>7.1501000000000001</v>
      </c>
      <c r="AG19" s="12">
        <v>1.3266</v>
      </c>
      <c r="AH19" s="12">
        <v>18.553586663123593</v>
      </c>
      <c r="AI19" s="12">
        <v>63.361599999999996</v>
      </c>
      <c r="AJ19" s="12">
        <v>0.61250000000000004</v>
      </c>
      <c r="AK19" s="12">
        <v>0.9666738213681475</v>
      </c>
      <c r="AL19" s="12">
        <v>2.5491000000000001</v>
      </c>
      <c r="AM19" s="12">
        <v>0.55510000000000004</v>
      </c>
      <c r="AN19" s="12">
        <v>21.776313208583424</v>
      </c>
      <c r="AO19" s="12">
        <v>4.5617999999999999</v>
      </c>
      <c r="AP19" s="12">
        <v>1.1104000000000001</v>
      </c>
      <c r="AQ19" s="12">
        <v>24.341268797404535</v>
      </c>
      <c r="AR19" s="12">
        <v>76.188699999999997</v>
      </c>
      <c r="AS19" s="12">
        <v>0.87250000000000005</v>
      </c>
      <c r="AT19" s="12">
        <v>1.1451829470774539</v>
      </c>
      <c r="AU19" s="12">
        <v>2.3351999999999999</v>
      </c>
      <c r="AV19" s="12">
        <v>0.64429999999999998</v>
      </c>
      <c r="AW19" s="12">
        <v>27.590784515244948</v>
      </c>
      <c r="AX19" s="12">
        <v>116.9016</v>
      </c>
      <c r="AY19" s="12">
        <v>0.27010000000000001</v>
      </c>
      <c r="AZ19" s="12">
        <v>0.23104901900401703</v>
      </c>
      <c r="BA19" s="12">
        <v>1.2</v>
      </c>
      <c r="BB19" s="12">
        <v>0.17499999999999999</v>
      </c>
      <c r="BC19" s="12">
        <v>14.583333333333334</v>
      </c>
      <c r="BD19" s="12">
        <v>0.91639999999999999</v>
      </c>
      <c r="BE19" s="12">
        <v>0.15060000000000001</v>
      </c>
      <c r="BF19" s="12">
        <v>16.433871671759061</v>
      </c>
      <c r="BG19" s="12">
        <v>7.7329999999999997</v>
      </c>
      <c r="BH19" s="12">
        <v>0.156</v>
      </c>
      <c r="BI19" s="12">
        <v>2.0173283331178067</v>
      </c>
      <c r="BJ19" s="12">
        <v>1.7853000000000001</v>
      </c>
      <c r="BK19" s="12">
        <v>0.10970000000000001</v>
      </c>
      <c r="BL19" s="12">
        <v>6.1446255531283258</v>
      </c>
      <c r="BM19" s="12">
        <v>119.0737</v>
      </c>
      <c r="BN19" s="12">
        <v>0.10970000000000001</v>
      </c>
      <c r="BO19" s="51">
        <v>9.2127816637930959E-2</v>
      </c>
      <c r="BP19" s="12">
        <v>2.9499999999999998E-2</v>
      </c>
      <c r="BQ19" s="12">
        <v>2.9499999999999998E-2</v>
      </c>
      <c r="BR19" s="57">
        <v>2.9499999999999998E-2</v>
      </c>
      <c r="BS19" s="57">
        <v>2.5000000000000001E-2</v>
      </c>
      <c r="BT19" s="57">
        <v>1E-4</v>
      </c>
      <c r="BU19" s="13">
        <v>0</v>
      </c>
      <c r="BV19" s="57">
        <v>1E-4</v>
      </c>
      <c r="BW19" s="81">
        <v>1E-4</v>
      </c>
      <c r="BX19" s="12">
        <v>0</v>
      </c>
      <c r="BY19" s="109">
        <v>1E-4</v>
      </c>
      <c r="BZ19" s="12">
        <v>1E-4</v>
      </c>
      <c r="CA19" s="12">
        <v>0</v>
      </c>
      <c r="CB19" s="12">
        <v>1E-4</v>
      </c>
      <c r="CC19" s="12">
        <v>0.70009999999999994</v>
      </c>
      <c r="CD19" s="12">
        <v>0.7</v>
      </c>
      <c r="CE19" s="81">
        <v>5.0099999999999999E-2</v>
      </c>
      <c r="CF19" s="12">
        <v>1E-4</v>
      </c>
      <c r="CG19" s="12">
        <v>0</v>
      </c>
      <c r="CH19" s="12">
        <v>2.0000000000000001E-4</v>
      </c>
      <c r="CI19" s="13">
        <v>0</v>
      </c>
      <c r="CJ19" s="13">
        <v>0</v>
      </c>
      <c r="CK19" s="13">
        <v>10.0001</v>
      </c>
      <c r="CL19" s="13">
        <v>10.0001</v>
      </c>
      <c r="CM19" s="13">
        <v>1E-4</v>
      </c>
      <c r="CN19" s="13">
        <v>0</v>
      </c>
      <c r="CO19" s="13">
        <v>2.0000000000000001E-4</v>
      </c>
      <c r="CP19" s="12">
        <v>1E-4</v>
      </c>
      <c r="CQ19" s="12">
        <v>2.0000000000000001E-4</v>
      </c>
    </row>
    <row r="20" spans="1:95" ht="15.75" x14ac:dyDescent="0.25">
      <c r="A20" s="17" t="s">
        <v>65</v>
      </c>
      <c r="B20" s="18">
        <v>34.383299999999998</v>
      </c>
      <c r="C20" s="18">
        <v>0</v>
      </c>
      <c r="D20" s="18">
        <v>0</v>
      </c>
      <c r="E20" s="18">
        <v>30.429500000000001</v>
      </c>
      <c r="F20" s="18">
        <v>0</v>
      </c>
      <c r="G20" s="18">
        <v>0</v>
      </c>
      <c r="H20" s="18">
        <v>71.282300000000006</v>
      </c>
      <c r="I20" s="18">
        <v>0</v>
      </c>
      <c r="J20" s="18">
        <v>0</v>
      </c>
      <c r="K20" s="18">
        <v>9.6839999999999993</v>
      </c>
      <c r="L20" s="18">
        <v>0</v>
      </c>
      <c r="M20" s="18">
        <v>0</v>
      </c>
      <c r="N20" s="18">
        <v>30.930399999999999</v>
      </c>
      <c r="O20" s="18">
        <v>0.25080000000000002</v>
      </c>
      <c r="P20" s="18">
        <v>0.81085275327832818</v>
      </c>
      <c r="Q20" s="18">
        <v>98.020099999999999</v>
      </c>
      <c r="R20" s="18">
        <v>0.247</v>
      </c>
      <c r="S20" s="18">
        <v>0.2519891328411214</v>
      </c>
      <c r="T20" s="18">
        <v>39.467100000000002</v>
      </c>
      <c r="U20" s="18">
        <v>0.3</v>
      </c>
      <c r="V20" s="18">
        <v>0.7601267891484299</v>
      </c>
      <c r="W20" s="18">
        <v>163.92840000000001</v>
      </c>
      <c r="X20" s="18">
        <v>0.17</v>
      </c>
      <c r="Y20" s="18">
        <v>0.10370381215213471</v>
      </c>
      <c r="Z20" s="18">
        <v>35.333799999999997</v>
      </c>
      <c r="AA20" s="18">
        <v>0.14219999999999999</v>
      </c>
      <c r="AB20" s="18">
        <v>0.40244751484414359</v>
      </c>
      <c r="AC20" s="18">
        <v>185.09190000000001</v>
      </c>
      <c r="AD20" s="18">
        <v>3.75</v>
      </c>
      <c r="AE20" s="18">
        <v>2.0260205876108031</v>
      </c>
      <c r="AF20" s="18">
        <v>46.502099999999999</v>
      </c>
      <c r="AG20" s="18">
        <v>1.5065999999999999</v>
      </c>
      <c r="AH20" s="18">
        <v>3.2398536840271732</v>
      </c>
      <c r="AI20" s="18">
        <v>85.842899999999986</v>
      </c>
      <c r="AJ20" s="18">
        <v>0.79249999999999998</v>
      </c>
      <c r="AK20" s="18">
        <v>0.92319807462236247</v>
      </c>
      <c r="AL20" s="18">
        <v>34.723500000000001</v>
      </c>
      <c r="AM20" s="18">
        <v>1.0636000000000001</v>
      </c>
      <c r="AN20" s="18">
        <v>3.0630552795657122</v>
      </c>
      <c r="AO20" s="18">
        <v>44.451799999999999</v>
      </c>
      <c r="AP20" s="18">
        <v>1.3549</v>
      </c>
      <c r="AQ20" s="18">
        <v>3.0480205525985449</v>
      </c>
      <c r="AR20" s="18">
        <v>107.72839999999999</v>
      </c>
      <c r="AS20" s="18">
        <v>1.0057</v>
      </c>
      <c r="AT20" s="18">
        <v>0.93355141262656838</v>
      </c>
      <c r="AU20" s="18">
        <v>21.276900000000001</v>
      </c>
      <c r="AV20" s="18">
        <v>0.77749999999999997</v>
      </c>
      <c r="AW20" s="18">
        <v>3.6541977449722465</v>
      </c>
      <c r="AX20" s="18">
        <v>168.85079999999999</v>
      </c>
      <c r="AY20" s="18">
        <v>0.9173</v>
      </c>
      <c r="AZ20" s="18">
        <v>0.54326067747384088</v>
      </c>
      <c r="BA20" s="18">
        <v>80.099500000000006</v>
      </c>
      <c r="BB20" s="18">
        <v>1.8536000000000001</v>
      </c>
      <c r="BC20" s="18">
        <v>2.3141218109975719</v>
      </c>
      <c r="BD20" s="18">
        <v>78.447999999999993</v>
      </c>
      <c r="BE20" s="18">
        <v>1.8287</v>
      </c>
      <c r="BF20" s="18">
        <v>2.3310983071588827</v>
      </c>
      <c r="BG20" s="18">
        <v>74.639200000000002</v>
      </c>
      <c r="BH20" s="18">
        <v>5.4161999999999999</v>
      </c>
      <c r="BI20" s="18">
        <v>7.2565086442512774</v>
      </c>
      <c r="BJ20" s="18">
        <v>43.363999999999997</v>
      </c>
      <c r="BK20" s="18">
        <v>2.89</v>
      </c>
      <c r="BL20" s="18">
        <v>6.664514343695231</v>
      </c>
      <c r="BM20" s="18">
        <v>157.6523</v>
      </c>
      <c r="BN20" s="18">
        <v>2.8619000000000003</v>
      </c>
      <c r="BO20" s="18">
        <v>1.8153239756096169</v>
      </c>
      <c r="BP20" s="18">
        <v>4.7244999999999999</v>
      </c>
      <c r="BQ20" s="18">
        <v>4.7244999999999999</v>
      </c>
      <c r="BR20" s="76">
        <v>1.8767</v>
      </c>
      <c r="BS20" s="59">
        <v>5.1857000000000006</v>
      </c>
      <c r="BT20" s="59">
        <v>5.1608000000000001</v>
      </c>
      <c r="BU20" s="20">
        <v>4.3853</v>
      </c>
      <c r="BV20" s="59">
        <v>7.7519999999999998</v>
      </c>
      <c r="BW20" s="89">
        <v>1.7803</v>
      </c>
      <c r="BX20" s="89">
        <v>0</v>
      </c>
      <c r="BY20" s="89">
        <v>3.9882000000000004</v>
      </c>
      <c r="BZ20" s="89">
        <v>4.0106000000000002</v>
      </c>
      <c r="CA20" s="89">
        <v>0</v>
      </c>
      <c r="CB20" s="89">
        <v>11.150499999999999</v>
      </c>
      <c r="CC20" s="89">
        <v>10.610199999999999</v>
      </c>
      <c r="CD20" s="89">
        <v>9.0335000000000001</v>
      </c>
      <c r="CE20" s="89">
        <v>12.6295</v>
      </c>
      <c r="CF20" s="20">
        <v>5.1699000000000002</v>
      </c>
      <c r="CG20" s="20">
        <v>2.2563</v>
      </c>
      <c r="CH20" s="20">
        <v>4.1903000000000006</v>
      </c>
      <c r="CI20" s="20">
        <v>2.9449999999999998</v>
      </c>
      <c r="CJ20" s="20">
        <f>SUM(CJ18:CJ19)</f>
        <v>2.5274999999999999</v>
      </c>
      <c r="CK20" s="20">
        <v>11.0002</v>
      </c>
      <c r="CL20" s="20">
        <v>11.0002</v>
      </c>
      <c r="CM20" s="85">
        <f>SUM(CM18:CM19)</f>
        <v>8.0100000000000005E-2</v>
      </c>
      <c r="CN20" s="85">
        <f>SUM(CN18:CN19)</f>
        <v>0</v>
      </c>
      <c r="CO20" s="85">
        <f>SUM(CO18:CO19)</f>
        <v>6.0104000000000006</v>
      </c>
      <c r="CP20" s="85">
        <f>SUM(CP18:CP19)</f>
        <v>9.2999999999999999E-2</v>
      </c>
      <c r="CQ20" s="85">
        <f>SUM(CQ18:CQ19)</f>
        <v>2.5206000000000004</v>
      </c>
    </row>
    <row r="21" spans="1:95" ht="15.75" x14ac:dyDescent="0.25">
      <c r="A21" s="19" t="s">
        <v>66</v>
      </c>
      <c r="B21" s="20">
        <v>649.29830000000004</v>
      </c>
      <c r="C21" s="20">
        <v>1.5927</v>
      </c>
      <c r="D21" s="20">
        <v>0.245295575238685</v>
      </c>
      <c r="E21" s="20">
        <v>878.10559999999998</v>
      </c>
      <c r="F21" s="20">
        <v>1.0475000000000001</v>
      </c>
      <c r="G21" s="20">
        <v>0.11929089166496606</v>
      </c>
      <c r="H21" s="20">
        <v>1094.5852</v>
      </c>
      <c r="I21" s="20">
        <v>0.81399999999999995</v>
      </c>
      <c r="J21" s="20">
        <v>7.4366070361631051E-2</v>
      </c>
      <c r="K21" s="20">
        <v>3267.7181</v>
      </c>
      <c r="L21" s="20">
        <v>0.374</v>
      </c>
      <c r="M21" s="20">
        <v>1.1445295724866841E-2</v>
      </c>
      <c r="N21" s="20">
        <v>5316.2562000000007</v>
      </c>
      <c r="O21" s="20">
        <v>55.001399999999997</v>
      </c>
      <c r="P21" s="20">
        <v>1.0345889650690647</v>
      </c>
      <c r="Q21" s="20">
        <v>2615.8906000000002</v>
      </c>
      <c r="R21" s="20">
        <v>19.965199999999999</v>
      </c>
      <c r="S21" s="20">
        <v>0.76322763650742875</v>
      </c>
      <c r="T21" s="20">
        <v>5328.2204000000002</v>
      </c>
      <c r="U21" s="20">
        <v>79.562200000000004</v>
      </c>
      <c r="V21" s="20">
        <v>1.4932227653345571</v>
      </c>
      <c r="W21" s="20">
        <v>2843.4625000000001</v>
      </c>
      <c r="X21" s="20">
        <v>55.802900000000001</v>
      </c>
      <c r="Y21" s="20">
        <v>1.962498186629857</v>
      </c>
      <c r="Z21" s="20">
        <v>2698.3546000000001</v>
      </c>
      <c r="AA21" s="20">
        <v>47.285299999999999</v>
      </c>
      <c r="AB21" s="20">
        <v>1.7523753179066976</v>
      </c>
      <c r="AC21" s="20">
        <v>3908.3139999999999</v>
      </c>
      <c r="AD21" s="20">
        <v>159.93549999999999</v>
      </c>
      <c r="AE21" s="20">
        <v>4.0921865540997988</v>
      </c>
      <c r="AF21" s="20">
        <v>6851.9512000000004</v>
      </c>
      <c r="AG21" s="20">
        <v>199.82300000000001</v>
      </c>
      <c r="AH21" s="20">
        <v>2.9162933909978808</v>
      </c>
      <c r="AI21" s="20">
        <v>3307.9719000000009</v>
      </c>
      <c r="AJ21" s="20">
        <v>177.4237</v>
      </c>
      <c r="AK21" s="20">
        <v>5.3635189585497978</v>
      </c>
      <c r="AL21" s="20">
        <v>10292.368200000001</v>
      </c>
      <c r="AM21" s="20">
        <v>344.66719999999998</v>
      </c>
      <c r="AN21" s="20">
        <v>3.3487647672767866</v>
      </c>
      <c r="AO21" s="20">
        <v>8233.5892000000003</v>
      </c>
      <c r="AP21" s="20">
        <v>248.7235</v>
      </c>
      <c r="AQ21" s="20">
        <v>3.0208393199893919</v>
      </c>
      <c r="AR21" s="20">
        <v>6839.9694199999994</v>
      </c>
      <c r="AS21" s="20">
        <v>206.25519999999997</v>
      </c>
      <c r="AT21" s="20">
        <v>3.015440381895742</v>
      </c>
      <c r="AU21" s="20">
        <v>6261.2052999999996</v>
      </c>
      <c r="AV21" s="20">
        <v>176.40579999999997</v>
      </c>
      <c r="AW21" s="20">
        <v>2.8174415555420294</v>
      </c>
      <c r="AX21" s="20">
        <v>9093.8268000000007</v>
      </c>
      <c r="AY21" s="20">
        <v>353.09500000000003</v>
      </c>
      <c r="AZ21" s="20">
        <v>3.8827988234832009</v>
      </c>
      <c r="BA21" s="20">
        <v>8380.753200000001</v>
      </c>
      <c r="BB21" s="20">
        <v>390.42999999999995</v>
      </c>
      <c r="BC21" s="20">
        <v>4.6586504897912979</v>
      </c>
      <c r="BD21" s="20">
        <v>7993.8161</v>
      </c>
      <c r="BE21" s="20">
        <v>358.64580000000001</v>
      </c>
      <c r="BF21" s="20">
        <v>4.4865405397554747</v>
      </c>
      <c r="BG21" s="20">
        <v>11427.5411</v>
      </c>
      <c r="BH21" s="20">
        <v>651.52699999999993</v>
      </c>
      <c r="BI21" s="20">
        <v>5.7013752503589759</v>
      </c>
      <c r="BJ21" s="20">
        <v>10943.231099999999</v>
      </c>
      <c r="BK21" s="20">
        <v>651.71140000000003</v>
      </c>
      <c r="BL21" s="20">
        <v>5.9553836891921259</v>
      </c>
      <c r="BM21" s="20">
        <v>11061.159899999999</v>
      </c>
      <c r="BN21" s="20">
        <v>615.69389999999987</v>
      </c>
      <c r="BO21" s="20">
        <v>5.566268868421294</v>
      </c>
      <c r="BP21" s="20">
        <v>864.54650000000004</v>
      </c>
      <c r="BQ21" s="20">
        <v>795.33210000000008</v>
      </c>
      <c r="BR21" s="20">
        <v>742.51139999999998</v>
      </c>
      <c r="BS21" s="20">
        <v>1101.2674999999999</v>
      </c>
      <c r="BT21" s="20">
        <v>1118.7759000000001</v>
      </c>
      <c r="BU21" s="20">
        <v>1095.0726999999999</v>
      </c>
      <c r="BV21" s="20">
        <v>1778.1333999999997</v>
      </c>
      <c r="BW21" s="89">
        <v>1217.7597999999998</v>
      </c>
      <c r="BX21" s="89">
        <v>1151.5311999999999</v>
      </c>
      <c r="BY21" s="89">
        <v>1421.9259</v>
      </c>
      <c r="BZ21" s="89">
        <v>1258.2194999999999</v>
      </c>
      <c r="CA21" s="89">
        <v>1186.2630999999999</v>
      </c>
      <c r="CB21" s="89">
        <v>1522.3276000000001</v>
      </c>
      <c r="CC21" s="89">
        <v>1445.3504</v>
      </c>
      <c r="CD21" s="89">
        <v>1153.9662000000001</v>
      </c>
      <c r="CE21" s="89">
        <v>2069.0704999999998</v>
      </c>
      <c r="CF21" s="20">
        <v>2019.5053</v>
      </c>
      <c r="CG21" s="20">
        <v>1626.5146</v>
      </c>
      <c r="CH21" s="20">
        <v>2216.1968999999999</v>
      </c>
      <c r="CI21" s="20">
        <v>2778.6532999999999</v>
      </c>
      <c r="CJ21" s="20">
        <f>CJ14+CJ17+CJ20</f>
        <v>2298.7836999999995</v>
      </c>
      <c r="CK21" s="20">
        <v>3021.4038</v>
      </c>
      <c r="CL21" s="20">
        <v>3088.1329999999998</v>
      </c>
      <c r="CM21" s="20">
        <f>CM14+CM17+CM20</f>
        <v>3156.2694000000006</v>
      </c>
      <c r="CN21" s="20">
        <f>CN14+CN17+CN20</f>
        <v>2670.4944999999998</v>
      </c>
      <c r="CO21" s="20">
        <f>CO14+CO17+CO20</f>
        <v>3389.3066000000003</v>
      </c>
      <c r="CP21" s="20">
        <f>CP14+CP17+CP20</f>
        <v>3553.9272000000001</v>
      </c>
      <c r="CQ21" s="20">
        <f>CQ14+CQ17+CQ20</f>
        <v>3955.6665000000003</v>
      </c>
    </row>
    <row r="22" spans="1:95" ht="15.75" x14ac:dyDescent="0.25">
      <c r="A22" s="22" t="s">
        <v>67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15"/>
      <c r="AJ22" s="15"/>
      <c r="AK22" s="15"/>
      <c r="AL22" s="23"/>
      <c r="AM22" s="23"/>
      <c r="AN22" s="23"/>
      <c r="AO22" s="23"/>
      <c r="AP22" s="23"/>
      <c r="AQ22" s="23"/>
      <c r="AR22" s="15"/>
      <c r="AS22" s="15"/>
      <c r="AT22" s="15"/>
      <c r="AU22" s="24"/>
      <c r="AV22" s="24"/>
      <c r="AW22" s="24"/>
      <c r="AX22" s="15"/>
      <c r="AY22" s="15"/>
      <c r="AZ22" s="15"/>
      <c r="BA22" s="24"/>
      <c r="BB22" s="24"/>
      <c r="BC22" s="24"/>
      <c r="BD22" s="24"/>
      <c r="BE22" s="24"/>
      <c r="BF22" s="77"/>
      <c r="BG22" s="24"/>
      <c r="BH22" s="24"/>
      <c r="BI22" s="24"/>
      <c r="BJ22" s="23"/>
      <c r="BK22" s="23"/>
      <c r="BL22" s="23"/>
      <c r="BM22" s="23"/>
      <c r="BN22" s="23"/>
      <c r="BO22" s="23"/>
      <c r="BP22" s="23"/>
      <c r="BQ22" s="23"/>
      <c r="BR22" s="56"/>
      <c r="BS22" s="68"/>
      <c r="BT22" s="54"/>
      <c r="BU22" s="78"/>
      <c r="BV22" s="54"/>
      <c r="BW22" s="90"/>
      <c r="BX22" s="78"/>
      <c r="BY22" s="112"/>
      <c r="BZ22" s="78"/>
      <c r="CA22" s="78"/>
      <c r="CB22" s="78"/>
      <c r="CC22" s="23"/>
      <c r="CD22" s="23"/>
      <c r="CE22" s="79"/>
      <c r="CF22" s="23"/>
      <c r="CG22" s="23"/>
      <c r="CH22" s="23"/>
      <c r="CI22" s="78"/>
      <c r="CJ22" s="78"/>
      <c r="CK22" s="78"/>
      <c r="CL22" s="78"/>
      <c r="CM22" s="78"/>
      <c r="CN22" s="78"/>
      <c r="CO22" s="78"/>
      <c r="CP22" s="171"/>
      <c r="CQ22" s="171"/>
    </row>
    <row r="23" spans="1:95" ht="15.75" x14ac:dyDescent="0.25">
      <c r="A23" s="49" t="s">
        <v>68</v>
      </c>
      <c r="B23" s="15">
        <v>40.455399999999997</v>
      </c>
      <c r="C23" s="15">
        <v>0</v>
      </c>
      <c r="D23" s="15">
        <v>0</v>
      </c>
      <c r="E23" s="15">
        <v>100.1968</v>
      </c>
      <c r="F23" s="15">
        <v>0</v>
      </c>
      <c r="G23" s="15">
        <v>0</v>
      </c>
      <c r="H23" s="15">
        <v>67.927199999999999</v>
      </c>
      <c r="I23" s="15">
        <v>0</v>
      </c>
      <c r="J23" s="15">
        <v>0</v>
      </c>
      <c r="K23" s="15">
        <v>80.5518</v>
      </c>
      <c r="L23" s="15">
        <v>0</v>
      </c>
      <c r="M23" s="15">
        <v>0</v>
      </c>
      <c r="N23" s="15">
        <v>165.24459999999999</v>
      </c>
      <c r="O23" s="15">
        <v>19.669799999999999</v>
      </c>
      <c r="P23" s="15">
        <v>11.903444953723147</v>
      </c>
      <c r="Q23" s="15">
        <v>137.64879999999999</v>
      </c>
      <c r="R23" s="15">
        <v>16.3856</v>
      </c>
      <c r="S23" s="15">
        <v>11.903917796595394</v>
      </c>
      <c r="T23" s="15">
        <v>111.68819999999999</v>
      </c>
      <c r="U23" s="15">
        <v>17.463000000000001</v>
      </c>
      <c r="V23" s="15">
        <v>15.635492379678428</v>
      </c>
      <c r="W23" s="15">
        <v>123.504</v>
      </c>
      <c r="X23" s="15">
        <v>20.5398</v>
      </c>
      <c r="Y23" s="15">
        <v>16.630878352118149</v>
      </c>
      <c r="Z23" s="15">
        <v>95.821799999999996</v>
      </c>
      <c r="AA23" s="15">
        <v>15.910399999999999</v>
      </c>
      <c r="AB23" s="15">
        <v>16.604154795672802</v>
      </c>
      <c r="AC23" s="15">
        <v>212.83850000000001</v>
      </c>
      <c r="AD23" s="15">
        <v>29.106100000000001</v>
      </c>
      <c r="AE23" s="15">
        <v>13.675204439046507</v>
      </c>
      <c r="AF23" s="15">
        <v>193.524</v>
      </c>
      <c r="AG23" s="15">
        <v>28.746400000000001</v>
      </c>
      <c r="AH23" s="15">
        <v>14.8541782931316</v>
      </c>
      <c r="AI23" s="15">
        <v>136.69489999999999</v>
      </c>
      <c r="AJ23" s="15">
        <v>21.601099999999999</v>
      </c>
      <c r="AK23" s="15">
        <v>15.802418378447184</v>
      </c>
      <c r="AL23" s="15">
        <v>311.51569999999998</v>
      </c>
      <c r="AM23" s="15">
        <v>34.930799999999998</v>
      </c>
      <c r="AN23" s="15">
        <v>11.213174809487933</v>
      </c>
      <c r="AO23" s="15">
        <v>283.26159999999999</v>
      </c>
      <c r="AP23" s="15">
        <v>31.189800000000002</v>
      </c>
      <c r="AQ23" s="15">
        <v>11.010952419953853</v>
      </c>
      <c r="AR23" s="15">
        <v>221.48509999999999</v>
      </c>
      <c r="AS23" s="15">
        <v>23.4938</v>
      </c>
      <c r="AT23" s="15">
        <v>10.607395260448673</v>
      </c>
      <c r="AU23" s="15">
        <v>203.9119</v>
      </c>
      <c r="AV23" s="15">
        <v>22.307500000000001</v>
      </c>
      <c r="AW23" s="15">
        <v>10.939773500222401</v>
      </c>
      <c r="AX23" s="15">
        <v>263.37270000000001</v>
      </c>
      <c r="AY23" s="15">
        <v>12.338100000000001</v>
      </c>
      <c r="AZ23" s="15">
        <v>4.6846541042408729</v>
      </c>
      <c r="BA23" s="15">
        <v>273.95089999999999</v>
      </c>
      <c r="BB23" s="15">
        <v>10.7096</v>
      </c>
      <c r="BC23" s="15">
        <v>3.9093136762828671</v>
      </c>
      <c r="BD23" s="15">
        <v>222.62569999999999</v>
      </c>
      <c r="BE23" s="15">
        <v>1.8278000000000001</v>
      </c>
      <c r="BF23" s="15">
        <v>0.82101931627839919</v>
      </c>
      <c r="BG23" s="15">
        <v>281.41579999999999</v>
      </c>
      <c r="BH23" s="15">
        <v>7.5956000000000001</v>
      </c>
      <c r="BI23" s="15">
        <v>2.6990666479991527</v>
      </c>
      <c r="BJ23" s="15">
        <v>296.00360000000001</v>
      </c>
      <c r="BK23" s="15">
        <v>10.333500000000001</v>
      </c>
      <c r="BL23" s="15">
        <v>3.4910048391303352</v>
      </c>
      <c r="BM23" s="15">
        <v>294.21339999999998</v>
      </c>
      <c r="BN23" s="15">
        <v>8.7098999999999993</v>
      </c>
      <c r="BO23" s="15">
        <v>2.9604022114560382</v>
      </c>
      <c r="BP23" s="15">
        <v>4.09</v>
      </c>
      <c r="BQ23" s="15">
        <v>9.5150000000000006</v>
      </c>
      <c r="BR23" s="56">
        <v>5.0347</v>
      </c>
      <c r="BS23" s="56">
        <v>7.9507000000000003</v>
      </c>
      <c r="BT23" s="56">
        <v>3.5396000000000001</v>
      </c>
      <c r="BU23" s="15">
        <v>3.3195000000000001</v>
      </c>
      <c r="BV23" s="56">
        <v>6.5518999999999998</v>
      </c>
      <c r="BW23" s="91">
        <v>6.0011000000000001</v>
      </c>
      <c r="BX23" s="125">
        <v>5.8209999999999997</v>
      </c>
      <c r="BY23" s="113">
        <v>9.1552000000000007</v>
      </c>
      <c r="BZ23" s="10">
        <v>10.3689</v>
      </c>
      <c r="CA23" s="10">
        <v>9.8132999999999999</v>
      </c>
      <c r="CB23" s="10">
        <v>16.326000000000001</v>
      </c>
      <c r="CC23" s="15">
        <v>16.749099999999999</v>
      </c>
      <c r="CD23" s="15">
        <v>18.608799999999999</v>
      </c>
      <c r="CE23" s="91">
        <v>18.833200000000001</v>
      </c>
      <c r="CF23" s="15">
        <v>45.704000000000001</v>
      </c>
      <c r="CG23" s="15">
        <v>49.185099999999998</v>
      </c>
      <c r="CH23" s="15">
        <v>44.045699999999997</v>
      </c>
      <c r="CI23" s="10">
        <v>84.844800000000006</v>
      </c>
      <c r="CJ23" s="10">
        <v>81.171099999999996</v>
      </c>
      <c r="CK23" s="10">
        <v>91.307599999999994</v>
      </c>
      <c r="CL23" s="10">
        <v>91.307599999999994</v>
      </c>
      <c r="CM23" s="125">
        <v>96.540199999999999</v>
      </c>
      <c r="CN23" s="177">
        <v>91.043800000000005</v>
      </c>
      <c r="CO23" s="177">
        <v>106.6403</v>
      </c>
      <c r="CP23" s="171">
        <v>133.27000000000001</v>
      </c>
      <c r="CQ23" s="175">
        <v>145.80009999999999</v>
      </c>
    </row>
    <row r="24" spans="1:95" ht="15.75" x14ac:dyDescent="0.25">
      <c r="A24" s="49" t="s">
        <v>69</v>
      </c>
      <c r="B24" s="15">
        <v>10.3011</v>
      </c>
      <c r="C24" s="15">
        <v>0.31979999999999997</v>
      </c>
      <c r="D24" s="15">
        <v>3.1045228179514806</v>
      </c>
      <c r="E24" s="15">
        <v>10.1919</v>
      </c>
      <c r="F24" s="15">
        <v>0.18709999999999999</v>
      </c>
      <c r="G24" s="15">
        <v>1.8357715440693096</v>
      </c>
      <c r="H24" s="15">
        <v>11.2249</v>
      </c>
      <c r="I24" s="15">
        <v>0.19239999999999999</v>
      </c>
      <c r="J24" s="15">
        <v>1.7140464503024526</v>
      </c>
      <c r="K24" s="15">
        <v>18.615100000000002</v>
      </c>
      <c r="L24" s="15">
        <v>0.1956</v>
      </c>
      <c r="M24" s="15">
        <v>1.0507598669897018</v>
      </c>
      <c r="N24" s="15">
        <v>26.781600000000001</v>
      </c>
      <c r="O24" s="15">
        <v>5.4779</v>
      </c>
      <c r="P24" s="15">
        <v>20.453968396212325</v>
      </c>
      <c r="Q24" s="15">
        <v>24.912500000000001</v>
      </c>
      <c r="R24" s="15">
        <v>4.95</v>
      </c>
      <c r="S24" s="15">
        <v>19.869543401906672</v>
      </c>
      <c r="T24" s="15">
        <v>28.3307</v>
      </c>
      <c r="U24" s="15">
        <v>7.0782999999999996</v>
      </c>
      <c r="V24" s="15">
        <v>24.984557388274908</v>
      </c>
      <c r="W24" s="15">
        <v>26.108899999999998</v>
      </c>
      <c r="X24" s="15">
        <v>10.5436</v>
      </c>
      <c r="Y24" s="15">
        <v>40.383164361577855</v>
      </c>
      <c r="Z24" s="15">
        <v>24.475000000000001</v>
      </c>
      <c r="AA24" s="15">
        <v>6.6981000000000002</v>
      </c>
      <c r="AB24" s="15">
        <v>27.367109295199182</v>
      </c>
      <c r="AC24" s="15">
        <v>32.112400000000001</v>
      </c>
      <c r="AD24" s="15">
        <v>7.6551999999999998</v>
      </c>
      <c r="AE24" s="15">
        <v>23.838766333254444</v>
      </c>
      <c r="AF24" s="15">
        <v>32.2226</v>
      </c>
      <c r="AG24" s="15">
        <v>6.1928000000000001</v>
      </c>
      <c r="AH24" s="15">
        <v>19.218809158789174</v>
      </c>
      <c r="AI24" s="15">
        <v>29.9954</v>
      </c>
      <c r="AJ24" s="10">
        <v>5.6257000000000001</v>
      </c>
      <c r="AK24" s="15">
        <v>18.755209132066916</v>
      </c>
      <c r="AL24" s="15">
        <v>45.085799999999999</v>
      </c>
      <c r="AM24" s="15">
        <v>6.5530999999999997</v>
      </c>
      <c r="AN24" s="15">
        <v>14.534731556277142</v>
      </c>
      <c r="AO24" s="15">
        <v>43.926000000000002</v>
      </c>
      <c r="AP24" s="15">
        <v>7.5640000000000001</v>
      </c>
      <c r="AQ24" s="15">
        <v>17.21986978099531</v>
      </c>
      <c r="AR24" s="15">
        <v>38.682600000000001</v>
      </c>
      <c r="AS24" s="15">
        <v>6.5815999999999999</v>
      </c>
      <c r="AT24" s="15">
        <v>17.014368217234622</v>
      </c>
      <c r="AU24" s="15">
        <v>21.690200000000001</v>
      </c>
      <c r="AV24" s="15">
        <v>2.0746000000000002</v>
      </c>
      <c r="AW24" s="15">
        <v>9.5646882002010134</v>
      </c>
      <c r="AX24" s="15">
        <v>36.658000000000001</v>
      </c>
      <c r="AY24" s="15">
        <v>6.8163</v>
      </c>
      <c r="AZ24" s="15">
        <v>18.594304108243769</v>
      </c>
      <c r="BA24" s="15">
        <v>38.675899999999999</v>
      </c>
      <c r="BB24" s="15">
        <v>5.8413000000000004</v>
      </c>
      <c r="BC24" s="15">
        <v>15.103203803919238</v>
      </c>
      <c r="BD24" s="15">
        <v>33.457700000000003</v>
      </c>
      <c r="BE24" s="15">
        <v>3.7073999999999998</v>
      </c>
      <c r="BF24" s="15">
        <v>11.080857321334101</v>
      </c>
      <c r="BG24" s="15">
        <v>49.745199999999997</v>
      </c>
      <c r="BH24" s="15">
        <v>8.452</v>
      </c>
      <c r="BI24" s="15">
        <v>16.990584016146283</v>
      </c>
      <c r="BJ24" s="15">
        <v>49.620399999999997</v>
      </c>
      <c r="BK24" s="15">
        <v>8.0627999999999993</v>
      </c>
      <c r="BL24" s="15">
        <v>16.248962120418213</v>
      </c>
      <c r="BM24" s="15">
        <v>40.923200000000001</v>
      </c>
      <c r="BN24" s="15">
        <v>4.7736999999999998</v>
      </c>
      <c r="BO24" s="15">
        <v>11.66502130820659</v>
      </c>
      <c r="BP24" s="15">
        <v>14.0832</v>
      </c>
      <c r="BQ24" s="15">
        <v>13.0947</v>
      </c>
      <c r="BR24" s="56">
        <v>12.392900000000001</v>
      </c>
      <c r="BS24" s="56">
        <v>14.916399999999999</v>
      </c>
      <c r="BT24" s="56">
        <v>14.632999999999999</v>
      </c>
      <c r="BU24" s="15">
        <v>14.1515</v>
      </c>
      <c r="BV24" s="56">
        <v>18.1114</v>
      </c>
      <c r="BW24" s="91">
        <v>16.9497</v>
      </c>
      <c r="BX24" s="125">
        <v>15.6221</v>
      </c>
      <c r="BY24" s="113">
        <v>19.130400000000002</v>
      </c>
      <c r="BZ24" s="10">
        <v>16.2453</v>
      </c>
      <c r="CA24" s="10">
        <v>15.3012</v>
      </c>
      <c r="CB24" s="10">
        <v>24.396699999999999</v>
      </c>
      <c r="CC24" s="15">
        <v>18.6174</v>
      </c>
      <c r="CD24" s="15">
        <v>17.595099999999999</v>
      </c>
      <c r="CE24" s="91">
        <v>20.523700000000002</v>
      </c>
      <c r="CF24" s="15">
        <v>22.406400000000001</v>
      </c>
      <c r="CG24" s="15">
        <v>21.507000000000001</v>
      </c>
      <c r="CH24" s="15">
        <v>24.517199999999999</v>
      </c>
      <c r="CI24" s="10">
        <v>25.244599999999998</v>
      </c>
      <c r="CJ24" s="10">
        <v>23.210899999999999</v>
      </c>
      <c r="CK24" s="10">
        <v>27.9511</v>
      </c>
      <c r="CL24" s="10">
        <v>28.4511</v>
      </c>
      <c r="CM24" s="125">
        <v>27.027100000000001</v>
      </c>
      <c r="CN24" s="177">
        <v>25.958400000000001</v>
      </c>
      <c r="CO24" s="177">
        <v>29.359400000000001</v>
      </c>
      <c r="CP24" s="175">
        <v>29.415500000000002</v>
      </c>
      <c r="CQ24" s="175">
        <v>30.631499999999999</v>
      </c>
    </row>
    <row r="25" spans="1:95" ht="15.75" x14ac:dyDescent="0.25">
      <c r="A25" s="49" t="s">
        <v>70</v>
      </c>
      <c r="B25" s="15">
        <v>18.200600000000001</v>
      </c>
      <c r="C25" s="15">
        <v>0</v>
      </c>
      <c r="D25" s="15">
        <v>0</v>
      </c>
      <c r="E25" s="15">
        <v>40.9955</v>
      </c>
      <c r="F25" s="15">
        <v>0</v>
      </c>
      <c r="G25" s="15">
        <v>0</v>
      </c>
      <c r="H25" s="15">
        <v>48.149099999999997</v>
      </c>
      <c r="I25" s="15">
        <v>0</v>
      </c>
      <c r="J25" s="15">
        <v>0</v>
      </c>
      <c r="K25" s="15">
        <v>64.787599999999998</v>
      </c>
      <c r="L25" s="15">
        <v>0</v>
      </c>
      <c r="M25" s="15">
        <v>0</v>
      </c>
      <c r="N25" s="15">
        <v>109.95399999999999</v>
      </c>
      <c r="O25" s="15">
        <v>6.3205</v>
      </c>
      <c r="P25" s="15">
        <v>5.7483129308619967</v>
      </c>
      <c r="Q25" s="15">
        <v>86.229699999999994</v>
      </c>
      <c r="R25" s="15">
        <v>37.800699999999999</v>
      </c>
      <c r="S25" s="15">
        <v>43.837216179576181</v>
      </c>
      <c r="T25" s="15">
        <v>58.145899999999997</v>
      </c>
      <c r="U25" s="15">
        <v>9.3579000000000008</v>
      </c>
      <c r="V25" s="15">
        <v>16.093826047924274</v>
      </c>
      <c r="W25" s="15">
        <v>687.01509999999996</v>
      </c>
      <c r="X25" s="15">
        <v>7.2271999999999998</v>
      </c>
      <c r="Y25" s="15">
        <v>1.0519710556580197</v>
      </c>
      <c r="Z25" s="15">
        <v>18.0197</v>
      </c>
      <c r="AA25" s="15">
        <v>0.53049999999999997</v>
      </c>
      <c r="AB25" s="15">
        <v>2.9440001775834226</v>
      </c>
      <c r="AC25" s="15">
        <v>113.45820000000001</v>
      </c>
      <c r="AD25" s="15">
        <v>14.513</v>
      </c>
      <c r="AE25" s="15">
        <v>12.791495017548312</v>
      </c>
      <c r="AF25" s="15">
        <v>95.469800000000006</v>
      </c>
      <c r="AG25" s="15">
        <v>5.8254000000000001</v>
      </c>
      <c r="AH25" s="15">
        <v>6.1018248702731119</v>
      </c>
      <c r="AI25" s="15">
        <v>83.431399999999996</v>
      </c>
      <c r="AJ25" s="15">
        <v>3.8029999999999999</v>
      </c>
      <c r="AK25" s="15">
        <v>4.5582358680305015</v>
      </c>
      <c r="AL25" s="15">
        <v>241.85310000000001</v>
      </c>
      <c r="AM25" s="15">
        <v>26.315300000000001</v>
      </c>
      <c r="AN25" s="15">
        <v>10.880695761187265</v>
      </c>
      <c r="AO25" s="15">
        <v>215.35310000000001</v>
      </c>
      <c r="AP25" s="15">
        <v>21.665299999999998</v>
      </c>
      <c r="AQ25" s="15">
        <v>10.060361332156351</v>
      </c>
      <c r="AR25" s="15">
        <v>167.857</v>
      </c>
      <c r="AS25" s="15">
        <v>9.7493999999999996</v>
      </c>
      <c r="AT25" s="15">
        <v>5.8081581346026674</v>
      </c>
      <c r="AU25" s="15">
        <v>152.5402</v>
      </c>
      <c r="AV25" s="15">
        <v>7.6654999999999998</v>
      </c>
      <c r="AW25" s="15">
        <v>5.0252326927590234</v>
      </c>
      <c r="AX25" s="15">
        <v>285.15899999999999</v>
      </c>
      <c r="AY25" s="15">
        <v>20.242899999999999</v>
      </c>
      <c r="AZ25" s="15">
        <v>7.098811540228434</v>
      </c>
      <c r="BA25" s="15">
        <v>220.05590000000001</v>
      </c>
      <c r="BB25" s="15">
        <v>12.7704</v>
      </c>
      <c r="BC25" s="15">
        <v>5.8032527189682259</v>
      </c>
      <c r="BD25" s="15">
        <v>216.92250000000001</v>
      </c>
      <c r="BE25" s="15">
        <v>12.5871</v>
      </c>
      <c r="BF25" s="15">
        <v>5.8025792621788881</v>
      </c>
      <c r="BG25" s="15">
        <v>324.80340000000001</v>
      </c>
      <c r="BH25" s="15">
        <v>29.020499999999998</v>
      </c>
      <c r="BI25" s="15">
        <v>8.9347894757259301</v>
      </c>
      <c r="BJ25" s="15">
        <v>344.35019999999997</v>
      </c>
      <c r="BK25" s="15">
        <v>20.235499999999998</v>
      </c>
      <c r="BL25" s="15">
        <v>5.8764304478405993</v>
      </c>
      <c r="BM25" s="15">
        <v>337.68060000000003</v>
      </c>
      <c r="BN25" s="15">
        <v>19.886299999999999</v>
      </c>
      <c r="BO25" s="15">
        <v>5.8890857218329975</v>
      </c>
      <c r="BP25" s="15">
        <v>31.740500000000001</v>
      </c>
      <c r="BQ25" s="15">
        <v>26.7715</v>
      </c>
      <c r="BR25" s="56">
        <v>22.554099999999998</v>
      </c>
      <c r="BS25" s="56">
        <v>32.231999999999999</v>
      </c>
      <c r="BT25" s="56">
        <v>36.562100000000001</v>
      </c>
      <c r="BU25" s="15">
        <v>33.721299999999999</v>
      </c>
      <c r="BV25" s="56">
        <v>40.561900000000001</v>
      </c>
      <c r="BW25" s="91">
        <v>51.628399999999999</v>
      </c>
      <c r="BX25" s="125">
        <v>45.284999999999997</v>
      </c>
      <c r="BY25" s="113">
        <v>64.733400000000003</v>
      </c>
      <c r="BZ25" s="10">
        <v>62.656500000000001</v>
      </c>
      <c r="CA25" s="10">
        <v>59.4009</v>
      </c>
      <c r="CB25" s="10">
        <v>89.671999999999997</v>
      </c>
      <c r="CC25" s="15">
        <v>93.713700000000003</v>
      </c>
      <c r="CD25" s="15">
        <v>92.178399999999996</v>
      </c>
      <c r="CE25" s="91">
        <v>112.7101</v>
      </c>
      <c r="CF25" s="15">
        <v>126.64</v>
      </c>
      <c r="CG25" s="15">
        <v>131.11500000000001</v>
      </c>
      <c r="CH25" s="15">
        <v>138.00020000000001</v>
      </c>
      <c r="CI25" s="10">
        <v>197.39500000000001</v>
      </c>
      <c r="CJ25" s="10">
        <v>184.03129999999999</v>
      </c>
      <c r="CK25" s="10">
        <v>222.40020000000001</v>
      </c>
      <c r="CL25" s="10">
        <v>222.40020000000001</v>
      </c>
      <c r="CM25" s="125">
        <v>213.58320000000001</v>
      </c>
      <c r="CN25" s="177">
        <v>195.27180000000001</v>
      </c>
      <c r="CO25" s="177">
        <v>236.58330000000001</v>
      </c>
      <c r="CP25" s="171">
        <v>217.71</v>
      </c>
      <c r="CQ25" s="175">
        <v>238.70009999999999</v>
      </c>
    </row>
    <row r="26" spans="1:95" ht="15.75" x14ac:dyDescent="0.25">
      <c r="A26" s="49" t="s">
        <v>71</v>
      </c>
      <c r="B26" s="15">
        <v>3.27</v>
      </c>
      <c r="C26" s="15">
        <v>0</v>
      </c>
      <c r="D26" s="15">
        <v>0</v>
      </c>
      <c r="E26" s="15">
        <v>4.5206</v>
      </c>
      <c r="F26" s="15">
        <v>0</v>
      </c>
      <c r="G26" s="15">
        <v>0</v>
      </c>
      <c r="H26" s="15">
        <v>6.8205</v>
      </c>
      <c r="I26" s="15">
        <v>0</v>
      </c>
      <c r="J26" s="15">
        <v>0</v>
      </c>
      <c r="K26" s="15">
        <v>8.2720000000000002</v>
      </c>
      <c r="L26" s="15">
        <v>0</v>
      </c>
      <c r="M26" s="15">
        <v>0</v>
      </c>
      <c r="N26" s="15">
        <v>22.906099999999999</v>
      </c>
      <c r="O26" s="15">
        <v>0</v>
      </c>
      <c r="P26" s="15">
        <v>0</v>
      </c>
      <c r="Q26" s="15">
        <v>21.502600000000001</v>
      </c>
      <c r="R26" s="15">
        <v>0</v>
      </c>
      <c r="S26" s="15">
        <v>0</v>
      </c>
      <c r="T26" s="15">
        <v>6.2032999999999996</v>
      </c>
      <c r="U26" s="15">
        <v>0</v>
      </c>
      <c r="V26" s="15">
        <v>0</v>
      </c>
      <c r="W26" s="15">
        <v>320.06310000000002</v>
      </c>
      <c r="X26" s="15">
        <v>0</v>
      </c>
      <c r="Y26" s="15">
        <v>0</v>
      </c>
      <c r="Z26" s="15">
        <v>5.0976999999999997</v>
      </c>
      <c r="AA26" s="15">
        <v>0</v>
      </c>
      <c r="AB26" s="15">
        <v>0</v>
      </c>
      <c r="AC26" s="15">
        <v>8.8582999999999998</v>
      </c>
      <c r="AD26" s="15">
        <v>1.5</v>
      </c>
      <c r="AE26" s="15">
        <v>16.933271620965648</v>
      </c>
      <c r="AF26" s="15">
        <v>9.0059000000000005</v>
      </c>
      <c r="AG26" s="15">
        <v>2.3245</v>
      </c>
      <c r="AH26" s="15">
        <v>25.810857326863502</v>
      </c>
      <c r="AI26" s="15">
        <v>2.3170999999999999</v>
      </c>
      <c r="AJ26" s="15">
        <v>0</v>
      </c>
      <c r="AK26" s="15">
        <v>0</v>
      </c>
      <c r="AL26" s="15">
        <v>14.3651</v>
      </c>
      <c r="AM26" s="15">
        <v>2.2000000000000002</v>
      </c>
      <c r="AN26" s="15">
        <v>15.314895127774955</v>
      </c>
      <c r="AO26" s="15">
        <v>25.463999999999999</v>
      </c>
      <c r="AP26" s="15">
        <v>8.1999999999999993</v>
      </c>
      <c r="AQ26" s="15">
        <v>32.202324850769713</v>
      </c>
      <c r="AR26" s="15">
        <v>28.7258</v>
      </c>
      <c r="AS26" s="15">
        <v>8.1999999999999993</v>
      </c>
      <c r="AT26" s="15">
        <v>28.545767219711891</v>
      </c>
      <c r="AU26" s="15">
        <v>3.2197</v>
      </c>
      <c r="AV26" s="15">
        <v>0</v>
      </c>
      <c r="AW26" s="15">
        <v>0</v>
      </c>
      <c r="AX26" s="15">
        <v>31.056799999999999</v>
      </c>
      <c r="AY26" s="15">
        <v>9.84</v>
      </c>
      <c r="AZ26" s="15">
        <v>31.683882434764687</v>
      </c>
      <c r="BA26" s="15">
        <v>53.979100000000003</v>
      </c>
      <c r="BB26" s="15">
        <v>17.84</v>
      </c>
      <c r="BC26" s="15">
        <v>33.049828544751577</v>
      </c>
      <c r="BD26" s="15">
        <v>53.026899999999998</v>
      </c>
      <c r="BE26" s="15">
        <v>17.84</v>
      </c>
      <c r="BF26" s="15">
        <v>33.643301795880959</v>
      </c>
      <c r="BG26" s="15">
        <v>34.811599999999999</v>
      </c>
      <c r="BH26" s="15">
        <v>6</v>
      </c>
      <c r="BI26" s="15">
        <v>17.235634098978501</v>
      </c>
      <c r="BJ26" s="15">
        <v>50.271700000000003</v>
      </c>
      <c r="BK26" s="15">
        <v>12</v>
      </c>
      <c r="BL26" s="15">
        <v>23.870288850386995</v>
      </c>
      <c r="BM26" s="15">
        <v>49.811999999999998</v>
      </c>
      <c r="BN26" s="15">
        <v>12</v>
      </c>
      <c r="BO26" s="15">
        <v>24.090580582992054</v>
      </c>
      <c r="BP26" s="15">
        <v>11</v>
      </c>
      <c r="BQ26" s="15">
        <v>26.4785</v>
      </c>
      <c r="BR26" s="56">
        <v>25</v>
      </c>
      <c r="BS26" s="56">
        <v>14.8</v>
      </c>
      <c r="BT26" s="56">
        <v>14.8</v>
      </c>
      <c r="BU26" s="10">
        <v>12.1</v>
      </c>
      <c r="BV26" s="56">
        <v>17</v>
      </c>
      <c r="BW26" s="91">
        <v>28.3887</v>
      </c>
      <c r="BX26" s="125">
        <v>28.3887</v>
      </c>
      <c r="BY26" s="113">
        <v>23.052</v>
      </c>
      <c r="BZ26" s="10">
        <v>6.2119999999999997</v>
      </c>
      <c r="CA26" s="10">
        <v>6.2119999999999997</v>
      </c>
      <c r="CB26" s="10">
        <v>12.9846</v>
      </c>
      <c r="CC26" s="15">
        <v>19.4346</v>
      </c>
      <c r="CD26" s="15">
        <v>0</v>
      </c>
      <c r="CE26" s="91">
        <v>19.4346</v>
      </c>
      <c r="CF26" s="15">
        <v>19.43</v>
      </c>
      <c r="CG26" s="15">
        <v>0</v>
      </c>
      <c r="CH26" s="15">
        <v>19.43</v>
      </c>
      <c r="CI26" s="10">
        <v>11.143699999999999</v>
      </c>
      <c r="CJ26" s="10">
        <f>2.5383+3.8074</f>
        <v>6.3456999999999999</v>
      </c>
      <c r="CK26" s="10">
        <v>22.287500000000001</v>
      </c>
      <c r="CL26" s="10">
        <v>22.287500000000001</v>
      </c>
      <c r="CM26" s="125">
        <f>22.3094+36.464</f>
        <v>58.773399999999995</v>
      </c>
      <c r="CN26" s="177">
        <f>12.1547+18.232</f>
        <v>30.386699999999998</v>
      </c>
      <c r="CO26" s="177">
        <f>26.7403+40.1104</f>
        <v>66.850700000000003</v>
      </c>
      <c r="CP26" s="175">
        <f>28.8161+43.2241</f>
        <v>72.040199999999999</v>
      </c>
      <c r="CQ26" s="175">
        <f>17.3495+26.0243</f>
        <v>43.373800000000003</v>
      </c>
    </row>
    <row r="27" spans="1:95" ht="15.75" x14ac:dyDescent="0.25">
      <c r="A27" s="49" t="s">
        <v>72</v>
      </c>
      <c r="B27" s="15">
        <v>6.1294000000000004</v>
      </c>
      <c r="C27" s="15">
        <v>0</v>
      </c>
      <c r="D27" s="15">
        <v>0</v>
      </c>
      <c r="E27" s="15">
        <v>8.2739999999999991</v>
      </c>
      <c r="F27" s="15">
        <v>0</v>
      </c>
      <c r="G27" s="15">
        <v>0</v>
      </c>
      <c r="H27" s="15">
        <v>10.1584</v>
      </c>
      <c r="I27" s="15">
        <v>0</v>
      </c>
      <c r="J27" s="15">
        <v>0</v>
      </c>
      <c r="K27" s="15">
        <v>16.212599999999998</v>
      </c>
      <c r="L27" s="15">
        <v>0</v>
      </c>
      <c r="M27" s="15">
        <v>0</v>
      </c>
      <c r="N27" s="15">
        <v>100.6189</v>
      </c>
      <c r="O27" s="15">
        <v>29.4559</v>
      </c>
      <c r="P27" s="15">
        <v>29.27471876555995</v>
      </c>
      <c r="Q27" s="15">
        <v>92.296300000000002</v>
      </c>
      <c r="R27" s="15">
        <v>27.2927</v>
      </c>
      <c r="S27" s="15">
        <v>29.57074118897507</v>
      </c>
      <c r="T27" s="15">
        <v>84.564999999999998</v>
      </c>
      <c r="U27" s="15">
        <v>30.0045</v>
      </c>
      <c r="V27" s="15">
        <v>35.48099095370425</v>
      </c>
      <c r="W27" s="15">
        <v>92.123900000000006</v>
      </c>
      <c r="X27" s="15">
        <v>34.448900000000002</v>
      </c>
      <c r="Y27" s="15">
        <v>37.394096428831169</v>
      </c>
      <c r="Z27" s="15">
        <v>68.247100000000003</v>
      </c>
      <c r="AA27" s="15">
        <v>21.175899999999999</v>
      </c>
      <c r="AB27" s="15">
        <v>31.028278124638259</v>
      </c>
      <c r="AC27" s="15">
        <v>223.0761</v>
      </c>
      <c r="AD27" s="15">
        <v>47.620800000000003</v>
      </c>
      <c r="AE27" s="15">
        <v>21.347333936714872</v>
      </c>
      <c r="AF27" s="15">
        <v>307.10149999999999</v>
      </c>
      <c r="AG27" s="15">
        <v>48.120100000000001</v>
      </c>
      <c r="AH27" s="15">
        <v>15.669119167441384</v>
      </c>
      <c r="AI27" s="15">
        <v>250.6506</v>
      </c>
      <c r="AJ27" s="15">
        <v>26.846599999999999</v>
      </c>
      <c r="AK27" s="15">
        <v>10.710766301776257</v>
      </c>
      <c r="AL27" s="15">
        <v>424.31330000000003</v>
      </c>
      <c r="AM27" s="15">
        <v>124.6596</v>
      </c>
      <c r="AN27" s="15">
        <v>29.379140366328372</v>
      </c>
      <c r="AO27" s="15">
        <v>409.41289999999998</v>
      </c>
      <c r="AP27" s="15">
        <v>102.36579999999999</v>
      </c>
      <c r="AQ27" s="15">
        <v>25.003071471367903</v>
      </c>
      <c r="AR27" s="15">
        <v>370.06990000000002</v>
      </c>
      <c r="AS27" s="15">
        <v>74.426699999999997</v>
      </c>
      <c r="AT27" s="15">
        <v>20.111524876786788</v>
      </c>
      <c r="AU27" s="15">
        <v>239.9522</v>
      </c>
      <c r="AV27" s="15">
        <v>65.983099999999993</v>
      </c>
      <c r="AW27" s="15">
        <v>27.498435104991742</v>
      </c>
      <c r="AX27" s="15">
        <v>609.55240000000003</v>
      </c>
      <c r="AY27" s="15">
        <v>101.4337</v>
      </c>
      <c r="AZ27" s="15">
        <v>16.640685854079155</v>
      </c>
      <c r="BA27" s="15">
        <v>405.6841</v>
      </c>
      <c r="BB27" s="15">
        <v>101.1957</v>
      </c>
      <c r="BC27" s="15">
        <v>24.944458015485448</v>
      </c>
      <c r="BD27" s="15">
        <v>345.63490000000002</v>
      </c>
      <c r="BE27" s="15">
        <v>99.029499999999999</v>
      </c>
      <c r="BF27" s="15">
        <v>28.651475878159292</v>
      </c>
      <c r="BG27" s="15">
        <v>559.49490000000003</v>
      </c>
      <c r="BH27" s="15">
        <v>125.1784</v>
      </c>
      <c r="BI27" s="15">
        <v>22.373465781368157</v>
      </c>
      <c r="BJ27" s="15">
        <v>471.97489999999999</v>
      </c>
      <c r="BK27" s="15">
        <v>120.9992</v>
      </c>
      <c r="BL27" s="15">
        <v>25.636787041005782</v>
      </c>
      <c r="BM27" s="15">
        <v>439.68770000000001</v>
      </c>
      <c r="BN27" s="15">
        <v>117.8117</v>
      </c>
      <c r="BO27" s="15">
        <v>26.794404301052772</v>
      </c>
      <c r="BP27" s="15">
        <v>122.94929999999999</v>
      </c>
      <c r="BQ27" s="15">
        <v>133.95650000000001</v>
      </c>
      <c r="BR27" s="56">
        <v>129.28039999999999</v>
      </c>
      <c r="BS27" s="56">
        <v>169.29600000000002</v>
      </c>
      <c r="BT27" s="56">
        <v>253.22289999999998</v>
      </c>
      <c r="BU27" s="15">
        <v>251.79409999999999</v>
      </c>
      <c r="BV27" s="56">
        <v>258.77179999999998</v>
      </c>
      <c r="BW27" s="91">
        <v>263.81900000000002</v>
      </c>
      <c r="BX27" s="125">
        <v>251.4265</v>
      </c>
      <c r="BY27" s="113">
        <v>332.3467</v>
      </c>
      <c r="BZ27" s="10">
        <v>302.66219999999998</v>
      </c>
      <c r="CA27" s="10">
        <v>292.4896</v>
      </c>
      <c r="CB27" s="10">
        <v>359.76150000000001</v>
      </c>
      <c r="CC27" s="15">
        <v>340.53280000000001</v>
      </c>
      <c r="CD27" s="15">
        <v>325.11500000000001</v>
      </c>
      <c r="CE27" s="91">
        <v>407.52</v>
      </c>
      <c r="CF27" s="15">
        <v>442.2253</v>
      </c>
      <c r="CG27" s="15">
        <v>438.5283</v>
      </c>
      <c r="CH27" s="15">
        <v>527.14359999999999</v>
      </c>
      <c r="CI27" s="10">
        <v>556.27650000000006</v>
      </c>
      <c r="CJ27" s="10">
        <v>534.21849999999995</v>
      </c>
      <c r="CK27" s="10">
        <v>659.69740000000002</v>
      </c>
      <c r="CL27" s="10">
        <v>666.84739999999999</v>
      </c>
      <c r="CM27" s="125">
        <f>645.362+4.9054</f>
        <v>650.26739999999995</v>
      </c>
      <c r="CN27" s="177">
        <f>625.6618+3.7164</f>
        <v>629.37819999999999</v>
      </c>
      <c r="CO27" s="177">
        <f>715.666+13.5942</f>
        <v>729.26020000000005</v>
      </c>
      <c r="CP27" s="175">
        <f>732.623+14.6268</f>
        <v>747.24980000000005</v>
      </c>
      <c r="CQ27" s="175">
        <f>791.3861+9.3845</f>
        <v>800.77060000000006</v>
      </c>
    </row>
    <row r="28" spans="1:95" ht="15.75" x14ac:dyDescent="0.25">
      <c r="A28" s="49" t="s">
        <v>73</v>
      </c>
      <c r="B28" s="15">
        <v>113.705</v>
      </c>
      <c r="C28" s="15">
        <v>0</v>
      </c>
      <c r="D28" s="15">
        <v>0</v>
      </c>
      <c r="E28" s="15">
        <v>244.96690000000001</v>
      </c>
      <c r="F28" s="15">
        <v>0</v>
      </c>
      <c r="G28" s="15">
        <v>0</v>
      </c>
      <c r="H28" s="15">
        <v>72.970299999999995</v>
      </c>
      <c r="I28" s="15">
        <v>0</v>
      </c>
      <c r="J28" s="15">
        <v>0</v>
      </c>
      <c r="K28" s="15">
        <v>79.086200000000005</v>
      </c>
      <c r="L28" s="15">
        <v>0</v>
      </c>
      <c r="M28" s="15">
        <v>0</v>
      </c>
      <c r="N28" s="15">
        <v>256.62040000000002</v>
      </c>
      <c r="O28" s="15">
        <v>8.58</v>
      </c>
      <c r="P28" s="15">
        <v>3.3434598340583985</v>
      </c>
      <c r="Q28" s="15">
        <v>216.65309999999999</v>
      </c>
      <c r="R28" s="15">
        <v>0</v>
      </c>
      <c r="S28" s="15">
        <v>0</v>
      </c>
      <c r="T28" s="15">
        <v>356.22989999999999</v>
      </c>
      <c r="U28" s="15">
        <v>69.960800000000006</v>
      </c>
      <c r="V28" s="15">
        <v>19.63922736412637</v>
      </c>
      <c r="W28" s="15">
        <v>389.20830000000001</v>
      </c>
      <c r="X28" s="15">
        <v>73.796000000000006</v>
      </c>
      <c r="Y28" s="15">
        <v>18.960541180648001</v>
      </c>
      <c r="Z28" s="15">
        <v>352.21339999999998</v>
      </c>
      <c r="AA28" s="15">
        <v>67.711500000000001</v>
      </c>
      <c r="AB28" s="15">
        <v>19.224566697348823</v>
      </c>
      <c r="AC28" s="15">
        <v>469.7867</v>
      </c>
      <c r="AD28" s="15">
        <v>75.709299999999999</v>
      </c>
      <c r="AE28" s="15">
        <v>16.115675475699927</v>
      </c>
      <c r="AF28" s="15">
        <v>387.12400000000002</v>
      </c>
      <c r="AG28" s="15">
        <v>70.120199999999997</v>
      </c>
      <c r="AH28" s="15">
        <v>18.113111044523201</v>
      </c>
      <c r="AI28" s="15">
        <v>297.63189999999997</v>
      </c>
      <c r="AJ28" s="15">
        <v>50.602899999999998</v>
      </c>
      <c r="AK28" s="15">
        <v>17.001840192533127</v>
      </c>
      <c r="AL28" s="15">
        <v>563.73350000000005</v>
      </c>
      <c r="AM28" s="15">
        <v>108.81019999999999</v>
      </c>
      <c r="AN28" s="15">
        <v>19.301709052238333</v>
      </c>
      <c r="AO28" s="15">
        <v>571.14779999999996</v>
      </c>
      <c r="AP28" s="15">
        <v>93.810199999999995</v>
      </c>
      <c r="AQ28" s="15">
        <v>16.42485535267754</v>
      </c>
      <c r="AR28" s="15">
        <v>408.50040000000001</v>
      </c>
      <c r="AS28" s="15">
        <v>62.057600000000001</v>
      </c>
      <c r="AT28" s="15">
        <v>15.191564071907884</v>
      </c>
      <c r="AU28" s="15">
        <v>349.84269999999998</v>
      </c>
      <c r="AV28" s="15">
        <v>58.033700000000003</v>
      </c>
      <c r="AW28" s="15">
        <v>16.588512494329596</v>
      </c>
      <c r="AX28" s="15">
        <v>769.63289999999995</v>
      </c>
      <c r="AY28" s="15">
        <v>133.11199999999999</v>
      </c>
      <c r="AZ28" s="15">
        <v>17.295518421834618</v>
      </c>
      <c r="BA28" s="15">
        <v>722.66830000000004</v>
      </c>
      <c r="BB28" s="15">
        <v>126.88039999999999</v>
      </c>
      <c r="BC28" s="15">
        <v>17.557211240620347</v>
      </c>
      <c r="BD28" s="15">
        <v>695.71799999999996</v>
      </c>
      <c r="BE28" s="15">
        <v>123.3352</v>
      </c>
      <c r="BF28" s="15">
        <v>17.727757510945526</v>
      </c>
      <c r="BG28" s="15">
        <v>986.12639999999999</v>
      </c>
      <c r="BH28" s="15">
        <v>170.9657</v>
      </c>
      <c r="BI28" s="15">
        <v>17.337097962289622</v>
      </c>
      <c r="BJ28" s="15">
        <v>846.81709999999998</v>
      </c>
      <c r="BK28" s="15">
        <v>177.1711</v>
      </c>
      <c r="BL28" s="15">
        <v>20.922003110234783</v>
      </c>
      <c r="BM28" s="15">
        <v>799.02880000000005</v>
      </c>
      <c r="BN28" s="15">
        <v>146.93989999999999</v>
      </c>
      <c r="BO28" s="15">
        <v>18.389812732657447</v>
      </c>
      <c r="BP28" s="15">
        <v>174.80109999999999</v>
      </c>
      <c r="BQ28" s="15">
        <v>284.04509999999999</v>
      </c>
      <c r="BR28" s="56">
        <v>279.99040000000002</v>
      </c>
      <c r="BS28" s="56">
        <v>377.5514</v>
      </c>
      <c r="BT28" s="56">
        <v>343.69470000000001</v>
      </c>
      <c r="BU28" s="15">
        <v>332.85829999999999</v>
      </c>
      <c r="BV28" s="56">
        <v>239.09290000000001</v>
      </c>
      <c r="BW28" s="91">
        <v>382.63200000000001</v>
      </c>
      <c r="BX28" s="125">
        <v>232.81630000000001</v>
      </c>
      <c r="BY28" s="113">
        <v>497.7466</v>
      </c>
      <c r="BZ28" s="10">
        <v>274.3408</v>
      </c>
      <c r="CA28" s="10">
        <v>242.57310000000001</v>
      </c>
      <c r="CB28" s="10">
        <v>421.64780000000002</v>
      </c>
      <c r="CC28" s="15">
        <v>427.79119999999995</v>
      </c>
      <c r="CD28" s="15">
        <v>415.69979999999998</v>
      </c>
      <c r="CE28" s="91">
        <v>589.92959999999994</v>
      </c>
      <c r="CF28" s="15">
        <v>536.36170000000004</v>
      </c>
      <c r="CG28" s="15">
        <v>528.98450000000003</v>
      </c>
      <c r="CH28" s="15">
        <v>633.96450000000004</v>
      </c>
      <c r="CI28" s="10">
        <v>952.48620000000005</v>
      </c>
      <c r="CJ28" s="10">
        <v>946.69150000000002</v>
      </c>
      <c r="CK28" s="10">
        <v>1224.2936999999999</v>
      </c>
      <c r="CL28" s="10">
        <v>1223.7941000000001</v>
      </c>
      <c r="CM28" s="125">
        <v>1240.3272999999999</v>
      </c>
      <c r="CN28" s="125">
        <f>1234.4936</f>
        <v>1234.4936</v>
      </c>
      <c r="CO28" s="125">
        <v>1479.2132999999999</v>
      </c>
      <c r="CP28" s="171">
        <v>1448.7073</v>
      </c>
      <c r="CQ28" s="171">
        <v>1661.7181</v>
      </c>
    </row>
    <row r="29" spans="1:95" ht="15.75" x14ac:dyDescent="0.25">
      <c r="A29" s="13" t="s">
        <v>74</v>
      </c>
      <c r="B29" s="12">
        <v>192.0615</v>
      </c>
      <c r="C29" s="12">
        <v>0.31979999999999997</v>
      </c>
      <c r="D29" s="12">
        <v>0.16650916503307533</v>
      </c>
      <c r="E29" s="12">
        <v>409.14569999999998</v>
      </c>
      <c r="F29" s="12">
        <v>0.18709999999999999</v>
      </c>
      <c r="G29" s="12">
        <v>4.5729430860448977E-2</v>
      </c>
      <c r="H29" s="12">
        <v>217.25040000000001</v>
      </c>
      <c r="I29" s="12">
        <v>0.19239999999999999</v>
      </c>
      <c r="J29" s="12">
        <v>8.8561401958293276E-2</v>
      </c>
      <c r="K29" s="12">
        <v>267.52530000000002</v>
      </c>
      <c r="L29" s="12">
        <v>0.1956</v>
      </c>
      <c r="M29" s="12">
        <v>7.3114580191107156E-2</v>
      </c>
      <c r="N29" s="12">
        <v>682.12559999999996</v>
      </c>
      <c r="O29" s="12">
        <v>69.504099999999994</v>
      </c>
      <c r="P29" s="12">
        <v>10.189340496823458</v>
      </c>
      <c r="Q29" s="12">
        <v>579.24300000000005</v>
      </c>
      <c r="R29" s="12">
        <v>86.429000000000002</v>
      </c>
      <c r="S29" s="12">
        <v>14.921026235966597</v>
      </c>
      <c r="T29" s="12">
        <v>645.16300000000001</v>
      </c>
      <c r="U29" s="12">
        <v>133.86450000000002</v>
      </c>
      <c r="V29" s="12">
        <v>20.748942515302339</v>
      </c>
      <c r="W29" s="12">
        <v>1638.0233000000001</v>
      </c>
      <c r="X29" s="12">
        <v>146.55549999999999</v>
      </c>
      <c r="Y29" s="12">
        <v>8.9470949528007306</v>
      </c>
      <c r="Z29" s="12">
        <v>563.87469999999996</v>
      </c>
      <c r="AA29" s="12">
        <v>112.0264</v>
      </c>
      <c r="AB29" s="12">
        <v>19.867250649834087</v>
      </c>
      <c r="AC29" s="12">
        <v>1060.1302000000001</v>
      </c>
      <c r="AD29" s="12">
        <v>176.1044</v>
      </c>
      <c r="AE29" s="12">
        <v>16.611582237728911</v>
      </c>
      <c r="AF29" s="12">
        <v>1024.4477999999999</v>
      </c>
      <c r="AG29" s="12">
        <v>161.32939999999999</v>
      </c>
      <c r="AH29" s="12">
        <v>15.747937571831381</v>
      </c>
      <c r="AI29" s="12">
        <v>800.72129999999993</v>
      </c>
      <c r="AJ29" s="12">
        <v>108.47929999999999</v>
      </c>
      <c r="AK29" s="12">
        <v>13.54769755719</v>
      </c>
      <c r="AL29" s="12">
        <v>1600.8665000000001</v>
      </c>
      <c r="AM29" s="12">
        <v>303.46899999999999</v>
      </c>
      <c r="AN29" s="12">
        <v>18.956546345369834</v>
      </c>
      <c r="AO29" s="12">
        <v>1548.5654</v>
      </c>
      <c r="AP29" s="12">
        <v>264.79509999999999</v>
      </c>
      <c r="AQ29" s="12">
        <v>17.099381143347255</v>
      </c>
      <c r="AR29" s="12">
        <v>1235.3208</v>
      </c>
      <c r="AS29" s="12">
        <v>184.50909999999999</v>
      </c>
      <c r="AT29" s="12">
        <v>14.93612833200898</v>
      </c>
      <c r="AU29" s="12">
        <v>971.15689999999995</v>
      </c>
      <c r="AV29" s="12">
        <v>156.06440000000001</v>
      </c>
      <c r="AW29" s="12">
        <v>16.069947090938655</v>
      </c>
      <c r="AX29" s="12">
        <v>1995.4317999999998</v>
      </c>
      <c r="AY29" s="12">
        <v>283.78300000000002</v>
      </c>
      <c r="AZ29" s="12">
        <v>14.221633633382011</v>
      </c>
      <c r="BA29" s="12">
        <v>1715.0142000000001</v>
      </c>
      <c r="BB29" s="12">
        <v>275.23739999999998</v>
      </c>
      <c r="BC29" s="12">
        <v>16.048695107014272</v>
      </c>
      <c r="BD29" s="12">
        <v>1567.3857</v>
      </c>
      <c r="BE29" s="12">
        <v>258.327</v>
      </c>
      <c r="BF29" s="12">
        <v>16.48139318867079</v>
      </c>
      <c r="BG29" s="12">
        <v>2236.3973000000001</v>
      </c>
      <c r="BH29" s="12">
        <v>347.2122</v>
      </c>
      <c r="BI29" s="12">
        <v>15.525515077307595</v>
      </c>
      <c r="BJ29" s="12">
        <v>2059.038</v>
      </c>
      <c r="BK29" s="12">
        <v>348.8021</v>
      </c>
      <c r="BL29" s="12">
        <v>16.940051616337335</v>
      </c>
      <c r="BM29" s="12">
        <v>2060.038</v>
      </c>
      <c r="BN29" s="12">
        <v>310.12149999999997</v>
      </c>
      <c r="BO29" s="12">
        <v>15.054164049401027</v>
      </c>
      <c r="BP29" s="12">
        <v>358.66409999999996</v>
      </c>
      <c r="BQ29" s="12">
        <v>493.86130000000003</v>
      </c>
      <c r="BR29" s="57">
        <v>474.2525</v>
      </c>
      <c r="BS29" s="57">
        <v>616.74649999999997</v>
      </c>
      <c r="BT29" s="57">
        <v>666.45229999999992</v>
      </c>
      <c r="BU29" s="57">
        <v>647.94470000000001</v>
      </c>
      <c r="BV29" s="57">
        <v>580.08989999999994</v>
      </c>
      <c r="BW29" s="87">
        <v>749.41890000000001</v>
      </c>
      <c r="BX29" s="108">
        <v>579.3596</v>
      </c>
      <c r="BY29" s="108">
        <v>946.16429999999991</v>
      </c>
      <c r="BZ29" s="108">
        <v>672.48569999999995</v>
      </c>
      <c r="CA29" s="13">
        <v>625.79009999999994</v>
      </c>
      <c r="CB29" s="13">
        <v>924.78859999999997</v>
      </c>
      <c r="CC29" s="12">
        <v>916.83879999999999</v>
      </c>
      <c r="CD29" s="12">
        <v>869.19709999999998</v>
      </c>
      <c r="CE29" s="81">
        <v>1168.9512</v>
      </c>
      <c r="CF29" s="12">
        <v>1192.7674000000002</v>
      </c>
      <c r="CG29" s="12">
        <v>1169.3199</v>
      </c>
      <c r="CH29" s="12">
        <v>1387.1012000000001</v>
      </c>
      <c r="CI29" s="12">
        <v>1827.3908000000001</v>
      </c>
      <c r="CJ29" s="12">
        <f>SUM(CJ23:CJ28)</f>
        <v>1775.6689999999999</v>
      </c>
      <c r="CK29" s="12">
        <v>2247.9375</v>
      </c>
      <c r="CL29" s="13">
        <v>2255.0879</v>
      </c>
      <c r="CM29" s="13">
        <f>SUM(CM23:CM28)</f>
        <v>2286.5185999999999</v>
      </c>
      <c r="CN29" s="13">
        <f>SUM(CN23:CN28)</f>
        <v>2206.5325000000003</v>
      </c>
      <c r="CO29" s="13">
        <f>SUM(CO23:CO28)</f>
        <v>2647.9071999999996</v>
      </c>
      <c r="CP29" s="13">
        <f>SUM(CP23:CP28)</f>
        <v>2648.3928000000001</v>
      </c>
      <c r="CQ29" s="13">
        <f>SUM(CQ23:CQ28)</f>
        <v>2920.9942000000001</v>
      </c>
    </row>
    <row r="30" spans="1:95" ht="15.75" x14ac:dyDescent="0.25">
      <c r="A30" s="16" t="s">
        <v>75</v>
      </c>
      <c r="B30" s="12">
        <v>95.683599999999998</v>
      </c>
      <c r="C30" s="12">
        <v>0</v>
      </c>
      <c r="D30" s="12">
        <v>0</v>
      </c>
      <c r="E30" s="12">
        <v>24.0913</v>
      </c>
      <c r="F30" s="12">
        <v>0</v>
      </c>
      <c r="G30" s="12">
        <v>0</v>
      </c>
      <c r="H30" s="12">
        <v>27.730599999999999</v>
      </c>
      <c r="I30" s="12">
        <v>0</v>
      </c>
      <c r="J30" s="12">
        <v>0</v>
      </c>
      <c r="K30" s="12">
        <v>36.134300000000003</v>
      </c>
      <c r="L30" s="12">
        <v>0</v>
      </c>
      <c r="M30" s="12">
        <v>0</v>
      </c>
      <c r="N30" s="12">
        <v>142.6936</v>
      </c>
      <c r="O30" s="12">
        <v>6.1576000000000004</v>
      </c>
      <c r="P30" s="12">
        <v>4.3152601097736696</v>
      </c>
      <c r="Q30" s="12">
        <v>96.737899999999996</v>
      </c>
      <c r="R30" s="12">
        <v>0</v>
      </c>
      <c r="S30" s="12">
        <v>0</v>
      </c>
      <c r="T30" s="12">
        <v>187.46940000000001</v>
      </c>
      <c r="U30" s="12">
        <v>6.6475</v>
      </c>
      <c r="V30" s="12">
        <v>3.5459120261760049</v>
      </c>
      <c r="W30" s="12">
        <v>303.20639999999997</v>
      </c>
      <c r="X30" s="12">
        <v>8.3803999999999998</v>
      </c>
      <c r="Y30" s="12">
        <v>2.7639258274231677</v>
      </c>
      <c r="Z30" s="12">
        <v>213.83680000000001</v>
      </c>
      <c r="AA30" s="12">
        <v>5.3987999999999996</v>
      </c>
      <c r="AB30" s="12">
        <v>2.5247291392314133</v>
      </c>
      <c r="AC30" s="12">
        <v>372.6857</v>
      </c>
      <c r="AD30" s="12">
        <v>5.0994999999999999</v>
      </c>
      <c r="AE30" s="12">
        <v>1.3683111533391275</v>
      </c>
      <c r="AF30" s="12">
        <v>451.85860000000002</v>
      </c>
      <c r="AG30" s="12">
        <v>10.842499999999999</v>
      </c>
      <c r="AH30" s="12">
        <v>2.3995338364700811</v>
      </c>
      <c r="AI30" s="12">
        <v>337.23009999999999</v>
      </c>
      <c r="AJ30" s="12">
        <v>9.3003</v>
      </c>
      <c r="AK30" s="12">
        <v>2.7578499072295148</v>
      </c>
      <c r="AL30" s="12">
        <v>335.90480000000002</v>
      </c>
      <c r="AM30" s="12">
        <v>42.433599999999998</v>
      </c>
      <c r="AN30" s="12">
        <v>12.632626863325561</v>
      </c>
      <c r="AO30" s="12">
        <v>1073.7756999999999</v>
      </c>
      <c r="AP30" s="12">
        <v>62.933500000000002</v>
      </c>
      <c r="AQ30" s="12">
        <v>5.8609540148841148</v>
      </c>
      <c r="AR30" s="12">
        <v>622.21140000000003</v>
      </c>
      <c r="AS30" s="12">
        <v>59.0961</v>
      </c>
      <c r="AT30" s="12">
        <v>9.4977526930557676</v>
      </c>
      <c r="AU30" s="12">
        <v>484.32470000000001</v>
      </c>
      <c r="AV30" s="12">
        <v>44.710799999999999</v>
      </c>
      <c r="AW30" s="12">
        <v>9.2315754286328993</v>
      </c>
      <c r="AX30" s="12">
        <v>1068.6923999999999</v>
      </c>
      <c r="AY30" s="12">
        <v>90.141600000000011</v>
      </c>
      <c r="AZ30" s="12">
        <v>8.4347563433594193</v>
      </c>
      <c r="BA30" s="12">
        <v>733.51490000000001</v>
      </c>
      <c r="BB30" s="12">
        <v>53.552099999999996</v>
      </c>
      <c r="BC30" s="12">
        <v>7.3007514912103346</v>
      </c>
      <c r="BD30" s="12">
        <v>575.57539999999995</v>
      </c>
      <c r="BE30" s="12">
        <v>36.062800000000003</v>
      </c>
      <c r="BF30" s="12">
        <v>6.2655214242999273</v>
      </c>
      <c r="BG30" s="12">
        <v>1261.7814000000001</v>
      </c>
      <c r="BH30" s="12">
        <v>118.74639999999999</v>
      </c>
      <c r="BI30" s="12">
        <v>9.4110120818075131</v>
      </c>
      <c r="BJ30" s="12">
        <v>645.22090000000003</v>
      </c>
      <c r="BK30" s="12">
        <v>101.0972</v>
      </c>
      <c r="BL30" s="12">
        <v>15.668618298012355</v>
      </c>
      <c r="BM30" s="12">
        <v>515.34339999999997</v>
      </c>
      <c r="BN30" s="12">
        <v>63.615700000000004</v>
      </c>
      <c r="BO30" s="12">
        <v>12.344331954188219</v>
      </c>
      <c r="BP30" s="12">
        <v>188.14449999999999</v>
      </c>
      <c r="BQ30" s="12">
        <v>147.17019999999999</v>
      </c>
      <c r="BR30" s="57">
        <v>81.340399999999988</v>
      </c>
      <c r="BS30" s="57">
        <v>196.24369999999999</v>
      </c>
      <c r="BT30" s="57">
        <v>113.5958</v>
      </c>
      <c r="BU30" s="12">
        <v>94.741600000000005</v>
      </c>
      <c r="BV30" s="57">
        <v>157.4324</v>
      </c>
      <c r="BW30" s="81">
        <v>134.12770000000003</v>
      </c>
      <c r="BX30" s="13">
        <v>89.979300000000009</v>
      </c>
      <c r="BY30" s="109">
        <v>347.73930000000001</v>
      </c>
      <c r="BZ30" s="13">
        <v>206.03749999999999</v>
      </c>
      <c r="CA30" s="13">
        <v>176.44290000000001</v>
      </c>
      <c r="CB30" s="13">
        <v>419.74099999999999</v>
      </c>
      <c r="CC30" s="12">
        <v>274.02859999999998</v>
      </c>
      <c r="CD30" s="12">
        <v>235.95680000000002</v>
      </c>
      <c r="CE30" s="81">
        <v>630.21720000000005</v>
      </c>
      <c r="CF30" s="12">
        <v>959.82229999999993</v>
      </c>
      <c r="CG30" s="12">
        <v>499.10770000000002</v>
      </c>
      <c r="CH30" s="12">
        <v>842.35230000000001</v>
      </c>
      <c r="CI30" s="13">
        <v>707.44129999999996</v>
      </c>
      <c r="CJ30" s="13">
        <f>21.9794+31.4641+77.6189+51.4+109.3444+124.7219</f>
        <v>416.52870000000001</v>
      </c>
      <c r="CK30" s="13">
        <v>737.9701</v>
      </c>
      <c r="CL30" s="13">
        <v>763.20090000000005</v>
      </c>
      <c r="CM30" s="13">
        <f>55.9876+45.18+175.9043+57.2938+283.9185+85.6129</f>
        <v>703.89710000000002</v>
      </c>
      <c r="CN30" s="13">
        <f>32.1568+27.1776+174.6313+51.9738+226.7335+76.7172</f>
        <v>589.39020000000005</v>
      </c>
      <c r="CO30" s="13">
        <f>77.9311+93.65+247.6+49.97+326.0239+303.7472</f>
        <v>1098.9222</v>
      </c>
      <c r="CP30" s="13">
        <f>55.7049+75.4568+192.196+40.9289+225.2805+194.4981</f>
        <v>784.0652</v>
      </c>
      <c r="CQ30" s="13">
        <f>79.164+103.7447+223.0203+46.5304+251.4506+157.8524</f>
        <v>861.76239999999996</v>
      </c>
    </row>
    <row r="31" spans="1:95" ht="15.75" x14ac:dyDescent="0.25">
      <c r="A31" s="19" t="s">
        <v>76</v>
      </c>
      <c r="B31" s="20">
        <v>287.74509999999998</v>
      </c>
      <c r="C31" s="20">
        <v>0.31979999999999997</v>
      </c>
      <c r="D31" s="20">
        <v>0.1111400333142076</v>
      </c>
      <c r="E31" s="20">
        <v>433.23700000000002</v>
      </c>
      <c r="F31" s="20">
        <v>0.18709999999999999</v>
      </c>
      <c r="G31" s="20">
        <v>4.3186523773361914E-2</v>
      </c>
      <c r="H31" s="20">
        <v>244.98099999999999</v>
      </c>
      <c r="I31" s="20">
        <v>0.19239999999999999</v>
      </c>
      <c r="J31" s="20">
        <v>7.853670284634319E-2</v>
      </c>
      <c r="K31" s="20">
        <v>303.65960000000001</v>
      </c>
      <c r="L31" s="20">
        <v>0.1956</v>
      </c>
      <c r="M31" s="20">
        <v>6.4414232252166567E-2</v>
      </c>
      <c r="N31" s="20">
        <v>824.81919999999991</v>
      </c>
      <c r="O31" s="20">
        <v>75.661699999999996</v>
      </c>
      <c r="P31" s="20">
        <v>9.1731254558574786</v>
      </c>
      <c r="Q31" s="20">
        <v>675.98090000000002</v>
      </c>
      <c r="R31" s="20">
        <v>86.429000000000002</v>
      </c>
      <c r="S31" s="20">
        <v>12.785716282812132</v>
      </c>
      <c r="T31" s="20">
        <v>832.63239999999996</v>
      </c>
      <c r="U31" s="20">
        <v>140.51200000000003</v>
      </c>
      <c r="V31" s="20">
        <v>16.875634433634822</v>
      </c>
      <c r="W31" s="20">
        <v>1941.2297000000001</v>
      </c>
      <c r="X31" s="20">
        <v>154.9359</v>
      </c>
      <c r="Y31" s="20">
        <v>7.9813275059618132</v>
      </c>
      <c r="Z31" s="20">
        <v>777.7115</v>
      </c>
      <c r="AA31" s="20">
        <v>117.4252</v>
      </c>
      <c r="AB31" s="20">
        <v>15.098812348795152</v>
      </c>
      <c r="AC31" s="20">
        <v>1432.8159000000001</v>
      </c>
      <c r="AD31" s="20">
        <v>181.2039</v>
      </c>
      <c r="AE31" s="20">
        <v>12.646698016123356</v>
      </c>
      <c r="AF31" s="20">
        <v>1476.3063999999999</v>
      </c>
      <c r="AG31" s="20">
        <v>172.17189999999999</v>
      </c>
      <c r="AH31" s="20">
        <v>11.662341909511467</v>
      </c>
      <c r="AI31" s="20">
        <v>1137.9513999999999</v>
      </c>
      <c r="AJ31" s="20">
        <v>117.77959999999999</v>
      </c>
      <c r="AK31" s="20">
        <v>10.350143248648404</v>
      </c>
      <c r="AL31" s="20">
        <v>1936.7713000000001</v>
      </c>
      <c r="AM31" s="20">
        <v>345.90260000000001</v>
      </c>
      <c r="AN31" s="20">
        <v>17.859754530645926</v>
      </c>
      <c r="AO31" s="20">
        <v>2622.3411000000001</v>
      </c>
      <c r="AP31" s="20">
        <v>327.72859999999997</v>
      </c>
      <c r="AQ31" s="20">
        <v>12.497558002656501</v>
      </c>
      <c r="AR31" s="20">
        <v>1857.5322000000001</v>
      </c>
      <c r="AS31" s="20">
        <v>243.6052</v>
      </c>
      <c r="AT31" s="20">
        <v>13.114453682148818</v>
      </c>
      <c r="AU31" s="20">
        <v>1455.4816000000001</v>
      </c>
      <c r="AV31" s="20">
        <v>200.77520000000001</v>
      </c>
      <c r="AW31" s="20">
        <v>13.794416913274615</v>
      </c>
      <c r="AX31" s="20">
        <v>3064.1241999999997</v>
      </c>
      <c r="AY31" s="20">
        <v>373.92460000000005</v>
      </c>
      <c r="AZ31" s="20">
        <v>12.203310818797753</v>
      </c>
      <c r="BA31" s="20"/>
      <c r="BB31" s="20"/>
      <c r="BC31" s="20"/>
      <c r="BD31" s="20">
        <v>2142.9611</v>
      </c>
      <c r="BE31" s="20">
        <v>294.38979999999998</v>
      </c>
      <c r="BF31" s="20">
        <v>13.737524213575316</v>
      </c>
      <c r="BG31" s="20">
        <v>3498.1787000000004</v>
      </c>
      <c r="BH31" s="20">
        <v>465.95859999999999</v>
      </c>
      <c r="BI31" s="20">
        <v>13.320034222379777</v>
      </c>
      <c r="BJ31" s="20">
        <v>2704.2588999999998</v>
      </c>
      <c r="BK31" s="20">
        <v>449.89929999999998</v>
      </c>
      <c r="BL31" s="20">
        <v>16.636694807586654</v>
      </c>
      <c r="BM31" s="20">
        <v>2575.3814000000002</v>
      </c>
      <c r="BN31" s="20">
        <v>373.73719999999997</v>
      </c>
      <c r="BO31" s="20">
        <v>14.51191656505712</v>
      </c>
      <c r="BP31" s="20">
        <v>546.80859999999996</v>
      </c>
      <c r="BQ31" s="20">
        <v>641.03150000000005</v>
      </c>
      <c r="BR31" s="59">
        <v>555.59289999999999</v>
      </c>
      <c r="BS31" s="59">
        <v>812.99019999999996</v>
      </c>
      <c r="BT31" s="59">
        <v>780.04809999999998</v>
      </c>
      <c r="BU31" s="59">
        <v>742.68630000000007</v>
      </c>
      <c r="BV31" s="59">
        <v>737.52229999999997</v>
      </c>
      <c r="BW31" s="88">
        <v>883.54660000000001</v>
      </c>
      <c r="BX31" s="88">
        <v>669.33889999999997</v>
      </c>
      <c r="BY31" s="88">
        <v>1293.9035999999999</v>
      </c>
      <c r="BZ31" s="88">
        <v>878.52319999999997</v>
      </c>
      <c r="CA31" s="88">
        <v>802.23299999999995</v>
      </c>
      <c r="CB31" s="88">
        <v>1344.5295999999998</v>
      </c>
      <c r="CC31" s="88">
        <v>1190.8674000000001</v>
      </c>
      <c r="CD31" s="88">
        <v>1105.1539</v>
      </c>
      <c r="CE31" s="88">
        <v>1799.1684</v>
      </c>
      <c r="CF31" s="59">
        <v>2152.5897</v>
      </c>
      <c r="CG31" s="59">
        <v>1668.4276</v>
      </c>
      <c r="CH31" s="59">
        <v>2229.4535000000001</v>
      </c>
      <c r="CI31" s="59">
        <v>2534.8321000000001</v>
      </c>
      <c r="CJ31" s="59">
        <f>SUM(CJ29:CJ30)</f>
        <v>2192.1976999999997</v>
      </c>
      <c r="CK31" s="59">
        <v>2985.9076</v>
      </c>
      <c r="CL31" s="59">
        <v>3018.2888000000003</v>
      </c>
      <c r="CM31" s="21">
        <f>SUM(CM29:CM30)</f>
        <v>2990.4157</v>
      </c>
      <c r="CN31" s="21">
        <f>SUM(CN29:CN30)</f>
        <v>2795.9227000000001</v>
      </c>
      <c r="CO31" s="21">
        <f>SUM(CO29:CO30)</f>
        <v>3746.8293999999996</v>
      </c>
      <c r="CP31" s="21">
        <f>SUM(CP29:CP30)</f>
        <v>3432.4580000000001</v>
      </c>
      <c r="CQ31" s="21">
        <f>SUM(CQ29:CQ30)</f>
        <v>3782.7566000000002</v>
      </c>
    </row>
    <row r="32" spans="1:95" ht="15.75" x14ac:dyDescent="0.25">
      <c r="A32" s="71" t="s">
        <v>77</v>
      </c>
      <c r="B32" s="69">
        <v>224.69560000000001</v>
      </c>
      <c r="C32" s="69">
        <v>0</v>
      </c>
      <c r="D32" s="69">
        <v>0</v>
      </c>
      <c r="E32" s="69">
        <v>329.50439999999998</v>
      </c>
      <c r="F32" s="69">
        <v>0</v>
      </c>
      <c r="G32" s="69">
        <v>0</v>
      </c>
      <c r="H32" s="69">
        <v>308.32380000000001</v>
      </c>
      <c r="I32" s="69">
        <v>0</v>
      </c>
      <c r="J32" s="69">
        <v>0</v>
      </c>
      <c r="K32" s="69">
        <v>462.37540000000001</v>
      </c>
      <c r="L32" s="69">
        <v>0</v>
      </c>
      <c r="M32" s="69">
        <v>0</v>
      </c>
      <c r="N32" s="69">
        <v>784.15539999999999</v>
      </c>
      <c r="O32" s="69">
        <v>70.048900000000003</v>
      </c>
      <c r="P32" s="69">
        <v>8.9330380177194471</v>
      </c>
      <c r="Q32" s="69">
        <v>742.15689999999995</v>
      </c>
      <c r="R32" s="69">
        <v>68.288600000000002</v>
      </c>
      <c r="S32" s="69">
        <v>9.2013696834186955</v>
      </c>
      <c r="T32" s="69">
        <v>571.48440000000005</v>
      </c>
      <c r="U32" s="69">
        <v>31.930099999999999</v>
      </c>
      <c r="V32" s="69">
        <v>5.5872216284469003</v>
      </c>
      <c r="W32" s="69">
        <v>653.76030000000003</v>
      </c>
      <c r="X32" s="69">
        <v>43.660600000000002</v>
      </c>
      <c r="Y32" s="69">
        <v>6.6783804400481346</v>
      </c>
      <c r="Z32" s="69">
        <v>737.4556</v>
      </c>
      <c r="AA32" s="69">
        <v>76.771100000000004</v>
      </c>
      <c r="AB32" s="69">
        <v>10.410267411353308</v>
      </c>
      <c r="AC32" s="69">
        <v>769.12750000000005</v>
      </c>
      <c r="AD32" s="69">
        <v>57.8459</v>
      </c>
      <c r="AE32" s="69">
        <v>7.5209766911207829</v>
      </c>
      <c r="AF32" s="69">
        <v>1033.5432000000001</v>
      </c>
      <c r="AG32" s="69">
        <v>64.885000000000005</v>
      </c>
      <c r="AH32" s="69">
        <v>6.2779185233863473</v>
      </c>
      <c r="AI32" s="69">
        <v>928.21580000000006</v>
      </c>
      <c r="AJ32" s="69">
        <v>64.612700000000004</v>
      </c>
      <c r="AK32" s="69">
        <v>6.9609567085585047</v>
      </c>
      <c r="AL32" s="69">
        <v>1071.1175000000001</v>
      </c>
      <c r="AM32" s="69">
        <v>100.2329</v>
      </c>
      <c r="AN32" s="69">
        <v>9.3577875443170324</v>
      </c>
      <c r="AO32" s="69">
        <v>2951.2471</v>
      </c>
      <c r="AP32" s="69">
        <v>420.75479999999999</v>
      </c>
      <c r="AQ32" s="69">
        <v>14.256847554377943</v>
      </c>
      <c r="AR32" s="69">
        <v>2495.1098000000002</v>
      </c>
      <c r="AS32" s="69">
        <v>344.47250000000003</v>
      </c>
      <c r="AT32" s="69">
        <v>13.805905455543479</v>
      </c>
      <c r="AU32" s="69">
        <v>1996.6027999999999</v>
      </c>
      <c r="AV32" s="69">
        <v>272.5059</v>
      </c>
      <c r="AW32" s="69">
        <v>13.648478305249299</v>
      </c>
      <c r="AX32" s="69">
        <v>3026.9101000000001</v>
      </c>
      <c r="AY32" s="69">
        <v>435.06349999999998</v>
      </c>
      <c r="AZ32" s="69">
        <v>14.37318868505543</v>
      </c>
      <c r="BA32" s="69">
        <v>2527.5920999999998</v>
      </c>
      <c r="BB32" s="69">
        <v>378.39510000000001</v>
      </c>
      <c r="BC32" s="69">
        <v>14.970576146364756</v>
      </c>
      <c r="BD32" s="69">
        <v>2419.1203</v>
      </c>
      <c r="BE32" s="69">
        <v>373.46440000000001</v>
      </c>
      <c r="BF32" s="69">
        <v>15.438025136658148</v>
      </c>
      <c r="BG32" s="69">
        <v>2547.9575</v>
      </c>
      <c r="BH32" s="69">
        <v>360.88299999999998</v>
      </c>
      <c r="BI32" s="69">
        <v>14.163619291138097</v>
      </c>
      <c r="BJ32" s="69">
        <v>2268.3065000000001</v>
      </c>
      <c r="BK32" s="69">
        <v>311.44349999999997</v>
      </c>
      <c r="BL32" s="69">
        <v>13.730221202469769</v>
      </c>
      <c r="BM32" s="69">
        <v>2259.1975000000002</v>
      </c>
      <c r="BN32" s="69">
        <v>311.31900000000002</v>
      </c>
      <c r="BO32" s="69">
        <v>13.780070135523786</v>
      </c>
      <c r="BP32" s="69">
        <v>307.53190000000001</v>
      </c>
      <c r="BQ32" s="69">
        <v>396.97370000000001</v>
      </c>
      <c r="BR32" s="70">
        <v>388.9658</v>
      </c>
      <c r="BS32" s="70">
        <v>340.928</v>
      </c>
      <c r="BT32" s="70">
        <v>366.69989999999996</v>
      </c>
      <c r="BU32" s="69">
        <v>366.08600000000001</v>
      </c>
      <c r="BV32" s="70">
        <v>452.43330000000003</v>
      </c>
      <c r="BW32" s="92">
        <v>598.90110000000004</v>
      </c>
      <c r="BX32" s="71">
        <v>490.59589999999997</v>
      </c>
      <c r="BY32" s="114">
        <v>356.98289999999997</v>
      </c>
      <c r="BZ32" s="71">
        <v>504.19580000000002</v>
      </c>
      <c r="CA32" s="71">
        <v>522.90179999999998</v>
      </c>
      <c r="CB32" s="71">
        <v>306.50450000000001</v>
      </c>
      <c r="CC32" s="69">
        <v>566.03240000000005</v>
      </c>
      <c r="CD32" s="69">
        <v>556.73129999999992</v>
      </c>
      <c r="CE32" s="92">
        <v>606.73059999999998</v>
      </c>
      <c r="CF32" s="69">
        <v>606.13660000000004</v>
      </c>
      <c r="CG32" s="69">
        <v>378.50229999999999</v>
      </c>
      <c r="CH32" s="69">
        <v>540.93849999999998</v>
      </c>
      <c r="CI32" s="71">
        <v>601.35799999999995</v>
      </c>
      <c r="CJ32" s="71">
        <f>302.089+277.5998</f>
        <v>579.68880000000001</v>
      </c>
      <c r="CK32" s="71">
        <v>566.70690000000002</v>
      </c>
      <c r="CL32" s="71">
        <v>570.56690000000003</v>
      </c>
      <c r="CM32" s="71">
        <f>338.7774+334.4601</f>
        <v>673.23749999999995</v>
      </c>
      <c r="CN32" s="71">
        <f>285.0305+306.1558</f>
        <v>591.18630000000007</v>
      </c>
      <c r="CO32" s="71">
        <f>382.8088+334.2001</f>
        <v>717.00890000000004</v>
      </c>
      <c r="CP32" s="71">
        <f>448.6455+324.2311</f>
        <v>772.87660000000005</v>
      </c>
      <c r="CQ32" s="71">
        <f>353.6365+367.8597</f>
        <v>721.49620000000004</v>
      </c>
    </row>
    <row r="33" spans="1:95" ht="15.75" x14ac:dyDescent="0.25">
      <c r="A33" s="71" t="s">
        <v>78</v>
      </c>
      <c r="B33" s="69">
        <v>0</v>
      </c>
      <c r="C33" s="69">
        <v>0</v>
      </c>
      <c r="D33" s="69">
        <v>0</v>
      </c>
      <c r="E33" s="69">
        <v>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  <c r="R33" s="69">
        <v>0</v>
      </c>
      <c r="S33" s="69">
        <v>0</v>
      </c>
      <c r="T33" s="69">
        <v>0</v>
      </c>
      <c r="U33" s="69">
        <v>0</v>
      </c>
      <c r="V33" s="69">
        <v>0</v>
      </c>
      <c r="W33" s="69">
        <v>0</v>
      </c>
      <c r="X33" s="69">
        <v>0</v>
      </c>
      <c r="Y33" s="69">
        <v>0</v>
      </c>
      <c r="Z33" s="69">
        <v>0</v>
      </c>
      <c r="AA33" s="69">
        <v>0</v>
      </c>
      <c r="AB33" s="69">
        <v>0</v>
      </c>
      <c r="AC33" s="69">
        <v>0</v>
      </c>
      <c r="AD33" s="69">
        <v>0</v>
      </c>
      <c r="AE33" s="69">
        <v>0</v>
      </c>
      <c r="AF33" s="69">
        <v>0</v>
      </c>
      <c r="AG33" s="69">
        <v>0</v>
      </c>
      <c r="AH33" s="69">
        <v>0</v>
      </c>
      <c r="AI33" s="69">
        <v>0</v>
      </c>
      <c r="AJ33" s="69">
        <v>0</v>
      </c>
      <c r="AK33" s="69">
        <v>0</v>
      </c>
      <c r="AL33" s="69">
        <v>0</v>
      </c>
      <c r="AM33" s="69">
        <v>0</v>
      </c>
      <c r="AN33" s="69">
        <v>0</v>
      </c>
      <c r="AO33" s="69">
        <v>0</v>
      </c>
      <c r="AP33" s="69">
        <v>0</v>
      </c>
      <c r="AQ33" s="69">
        <v>0</v>
      </c>
      <c r="AR33" s="69">
        <v>0</v>
      </c>
      <c r="AS33" s="69">
        <v>0</v>
      </c>
      <c r="AT33" s="69">
        <v>0</v>
      </c>
      <c r="AU33" s="69">
        <v>0</v>
      </c>
      <c r="AV33" s="69">
        <v>0</v>
      </c>
      <c r="AW33" s="69">
        <v>0</v>
      </c>
      <c r="AX33" s="69">
        <v>0</v>
      </c>
      <c r="AY33" s="69">
        <v>0</v>
      </c>
      <c r="AZ33" s="69">
        <v>0</v>
      </c>
      <c r="BA33" s="69">
        <v>0</v>
      </c>
      <c r="BB33" s="69">
        <v>0</v>
      </c>
      <c r="BC33" s="69">
        <v>0</v>
      </c>
      <c r="BD33" s="69">
        <v>0</v>
      </c>
      <c r="BE33" s="69">
        <v>0</v>
      </c>
      <c r="BF33" s="69">
        <v>0</v>
      </c>
      <c r="BG33" s="69">
        <v>0</v>
      </c>
      <c r="BH33" s="69">
        <v>0</v>
      </c>
      <c r="BI33" s="69">
        <v>0</v>
      </c>
      <c r="BJ33" s="69">
        <v>0</v>
      </c>
      <c r="BK33" s="69">
        <v>0</v>
      </c>
      <c r="BL33" s="69">
        <v>0</v>
      </c>
      <c r="BM33" s="69">
        <v>-1.052</v>
      </c>
      <c r="BN33" s="69">
        <v>0</v>
      </c>
      <c r="BO33" s="69">
        <v>0</v>
      </c>
      <c r="BP33" s="69">
        <v>0</v>
      </c>
      <c r="BQ33" s="69">
        <v>0</v>
      </c>
      <c r="BR33" s="70">
        <v>0</v>
      </c>
      <c r="BS33" s="70">
        <v>0</v>
      </c>
      <c r="BT33" s="70">
        <v>0</v>
      </c>
      <c r="BU33" s="70">
        <v>0</v>
      </c>
      <c r="BV33" s="70">
        <v>0</v>
      </c>
      <c r="BW33" s="93">
        <v>0</v>
      </c>
      <c r="BX33" s="115">
        <v>0</v>
      </c>
      <c r="BY33" s="115">
        <v>0</v>
      </c>
      <c r="BZ33" s="115">
        <v>0</v>
      </c>
      <c r="CA33" s="69">
        <v>0</v>
      </c>
      <c r="CB33" s="69">
        <v>0</v>
      </c>
      <c r="CC33" s="69">
        <v>0</v>
      </c>
      <c r="CD33" s="69">
        <v>0</v>
      </c>
      <c r="CE33" s="92">
        <v>0</v>
      </c>
      <c r="CF33" s="69">
        <v>0</v>
      </c>
      <c r="CG33" s="69">
        <v>0</v>
      </c>
      <c r="CH33" s="69">
        <v>0</v>
      </c>
      <c r="CI33" s="71">
        <v>0</v>
      </c>
      <c r="CJ33" s="71">
        <v>0</v>
      </c>
      <c r="CK33" s="71">
        <v>0</v>
      </c>
      <c r="CL33" s="71">
        <v>0</v>
      </c>
      <c r="CM33" s="71">
        <v>0</v>
      </c>
      <c r="CN33" s="71">
        <v>0</v>
      </c>
      <c r="CO33" s="71">
        <v>0</v>
      </c>
      <c r="CP33" s="171">
        <v>0</v>
      </c>
      <c r="CQ33" s="171">
        <v>0</v>
      </c>
    </row>
    <row r="34" spans="1:95" ht="15.75" x14ac:dyDescent="0.25">
      <c r="A34" s="19" t="s">
        <v>79</v>
      </c>
      <c r="B34" s="20">
        <v>224.69560000000001</v>
      </c>
      <c r="C34" s="20">
        <v>0</v>
      </c>
      <c r="D34" s="20">
        <v>0</v>
      </c>
      <c r="E34" s="20">
        <v>329.50439999999998</v>
      </c>
      <c r="F34" s="20">
        <v>0</v>
      </c>
      <c r="G34" s="20">
        <v>0</v>
      </c>
      <c r="H34" s="20">
        <v>308.32380000000001</v>
      </c>
      <c r="I34" s="20">
        <v>0</v>
      </c>
      <c r="J34" s="20">
        <v>0</v>
      </c>
      <c r="K34" s="20">
        <v>462.37540000000001</v>
      </c>
      <c r="L34" s="20">
        <v>0</v>
      </c>
      <c r="M34" s="20">
        <v>0</v>
      </c>
      <c r="N34" s="20">
        <v>784.15539999999999</v>
      </c>
      <c r="O34" s="20">
        <v>70.048900000000003</v>
      </c>
      <c r="P34" s="20">
        <v>8.9330380177194471</v>
      </c>
      <c r="Q34" s="20">
        <v>742.15689999999995</v>
      </c>
      <c r="R34" s="20">
        <v>68.288600000000002</v>
      </c>
      <c r="S34" s="20">
        <v>9.2013696834186955</v>
      </c>
      <c r="T34" s="20">
        <v>571.48440000000005</v>
      </c>
      <c r="U34" s="20">
        <v>31.930099999999999</v>
      </c>
      <c r="V34" s="20">
        <v>5.5872216284469003</v>
      </c>
      <c r="W34" s="20">
        <v>653.76030000000003</v>
      </c>
      <c r="X34" s="20">
        <v>43.660600000000002</v>
      </c>
      <c r="Y34" s="20">
        <v>6.6783804400481346</v>
      </c>
      <c r="Z34" s="20">
        <v>737.4556</v>
      </c>
      <c r="AA34" s="20">
        <v>76.771100000000004</v>
      </c>
      <c r="AB34" s="20">
        <v>10.410267411353308</v>
      </c>
      <c r="AC34" s="20">
        <v>769.12750000000005</v>
      </c>
      <c r="AD34" s="20">
        <v>57.8459</v>
      </c>
      <c r="AE34" s="20">
        <v>7.5209766911207829</v>
      </c>
      <c r="AF34" s="20">
        <v>1033.5432000000001</v>
      </c>
      <c r="AG34" s="20">
        <v>64.885000000000005</v>
      </c>
      <c r="AH34" s="20">
        <v>6.2779185233863473</v>
      </c>
      <c r="AI34" s="20">
        <v>928.21580000000006</v>
      </c>
      <c r="AJ34" s="20">
        <v>64.612700000000004</v>
      </c>
      <c r="AK34" s="20">
        <v>6.9609567085585047</v>
      </c>
      <c r="AL34" s="20">
        <v>1071.1175000000001</v>
      </c>
      <c r="AM34" s="20">
        <v>100.2329</v>
      </c>
      <c r="AN34" s="20">
        <v>9.3577875443170324</v>
      </c>
      <c r="AO34" s="20">
        <v>2951.2471</v>
      </c>
      <c r="AP34" s="20">
        <v>420.75479999999999</v>
      </c>
      <c r="AQ34" s="20">
        <v>14.256847554377901</v>
      </c>
      <c r="AR34" s="20">
        <v>2495.1098000000002</v>
      </c>
      <c r="AS34" s="20">
        <v>344.47250000000003</v>
      </c>
      <c r="AT34" s="20">
        <v>13.805905455543479</v>
      </c>
      <c r="AU34" s="20">
        <v>1996.6027999999999</v>
      </c>
      <c r="AV34" s="20">
        <v>272.5059</v>
      </c>
      <c r="AW34" s="20">
        <v>13.648478305249299</v>
      </c>
      <c r="AX34" s="20">
        <v>3026.9101000000001</v>
      </c>
      <c r="AY34" s="20">
        <v>435.06349999999998</v>
      </c>
      <c r="AZ34" s="20">
        <v>14.37318868505543</v>
      </c>
      <c r="BA34" s="20">
        <v>2527.5920999999998</v>
      </c>
      <c r="BB34" s="20">
        <v>378.39510000000001</v>
      </c>
      <c r="BC34" s="20">
        <v>14.970576146364756</v>
      </c>
      <c r="BD34" s="20">
        <v>2419.1203</v>
      </c>
      <c r="BE34" s="20">
        <v>373.46440000000001</v>
      </c>
      <c r="BF34" s="20">
        <v>15.438025136658148</v>
      </c>
      <c r="BG34" s="20">
        <v>2547.9575</v>
      </c>
      <c r="BH34" s="20">
        <v>360.88299999999998</v>
      </c>
      <c r="BI34" s="20">
        <v>14.163619291138097</v>
      </c>
      <c r="BJ34" s="20">
        <v>2268.3065000000001</v>
      </c>
      <c r="BK34" s="20">
        <v>311.44349999999997</v>
      </c>
      <c r="BL34" s="20">
        <v>13.730221202469769</v>
      </c>
      <c r="BM34" s="20">
        <v>2258.1455000000001</v>
      </c>
      <c r="BN34" s="20">
        <v>311.31900000000002</v>
      </c>
      <c r="BO34" s="20">
        <v>13.786489843103556</v>
      </c>
      <c r="BP34" s="20">
        <v>307.53190000000001</v>
      </c>
      <c r="BQ34" s="20">
        <v>396.97370000000001</v>
      </c>
      <c r="BR34" s="20">
        <v>388.9658</v>
      </c>
      <c r="BS34" s="20">
        <v>340.928</v>
      </c>
      <c r="BT34" s="20">
        <v>366.69989999999996</v>
      </c>
      <c r="BU34" s="20">
        <v>366.08600000000001</v>
      </c>
      <c r="BV34" s="20">
        <v>452.43330000000003</v>
      </c>
      <c r="BW34" s="89">
        <v>598.90110000000004</v>
      </c>
      <c r="BX34" s="89">
        <v>490.59589999999997</v>
      </c>
      <c r="BY34" s="89">
        <v>356.98289999999997</v>
      </c>
      <c r="BZ34" s="89">
        <v>504.19580000000002</v>
      </c>
      <c r="CA34" s="89">
        <v>522.90179999999998</v>
      </c>
      <c r="CB34" s="89">
        <v>306.50450000000001</v>
      </c>
      <c r="CC34" s="89">
        <v>566.03240000000005</v>
      </c>
      <c r="CD34" s="89">
        <v>556.73129999999992</v>
      </c>
      <c r="CE34" s="89">
        <v>606.73059999999998</v>
      </c>
      <c r="CF34" s="20">
        <v>606.13660000000004</v>
      </c>
      <c r="CG34" s="20">
        <v>378.50229999999999</v>
      </c>
      <c r="CH34" s="20">
        <v>540.93849999999998</v>
      </c>
      <c r="CI34" s="20">
        <v>601.35799999999995</v>
      </c>
      <c r="CJ34" s="20">
        <f>SUM(CJ32:CJ33)</f>
        <v>579.68880000000001</v>
      </c>
      <c r="CK34" s="20">
        <v>566.70690000000002</v>
      </c>
      <c r="CL34" s="20">
        <v>570.56690000000003</v>
      </c>
      <c r="CM34" s="21">
        <f>SUM(CM32:CM33)</f>
        <v>673.23749999999995</v>
      </c>
      <c r="CN34" s="21">
        <f>SUM(CN32:CN33)</f>
        <v>591.18630000000007</v>
      </c>
      <c r="CO34" s="21">
        <f>SUM(CO32:CO33)</f>
        <v>717.00890000000004</v>
      </c>
      <c r="CP34" s="21">
        <f>SUM(CP32:CP33)</f>
        <v>772.87660000000005</v>
      </c>
      <c r="CQ34" s="21">
        <f>SUM(CQ32:CQ33)</f>
        <v>721.49620000000004</v>
      </c>
    </row>
    <row r="35" spans="1:95" ht="15.75" x14ac:dyDescent="0.25">
      <c r="A35" s="22" t="s">
        <v>80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15"/>
      <c r="AJ35" s="15"/>
      <c r="AK35" s="15"/>
      <c r="AL35" s="23"/>
      <c r="AM35" s="23"/>
      <c r="AN35" s="23"/>
      <c r="AO35" s="23"/>
      <c r="AP35" s="23"/>
      <c r="AQ35" s="23"/>
      <c r="AR35" s="15"/>
      <c r="AS35" s="15"/>
      <c r="AT35" s="15"/>
      <c r="AU35" s="23"/>
      <c r="AV35" s="23"/>
      <c r="AW35" s="23"/>
      <c r="AX35" s="15"/>
      <c r="AY35" s="15"/>
      <c r="AZ35" s="15"/>
      <c r="BA35" s="23"/>
      <c r="BB35" s="23"/>
      <c r="BC35" s="23"/>
      <c r="BD35" s="23"/>
      <c r="BE35" s="23"/>
      <c r="BF35" s="79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56"/>
      <c r="BS35" s="68"/>
      <c r="BT35" s="56"/>
      <c r="BU35" s="78"/>
      <c r="BV35" s="56"/>
      <c r="BW35" s="90"/>
      <c r="BX35" s="78"/>
      <c r="BY35" s="112"/>
      <c r="BZ35" s="78"/>
      <c r="CA35" s="78"/>
      <c r="CB35" s="78"/>
      <c r="CC35" s="23"/>
      <c r="CD35" s="23"/>
      <c r="CE35" s="79"/>
      <c r="CF35" s="23"/>
      <c r="CG35" s="23"/>
      <c r="CH35" s="23"/>
      <c r="CI35" s="78"/>
      <c r="CJ35" s="78"/>
      <c r="CK35" s="78"/>
      <c r="CL35" s="78"/>
      <c r="CM35" s="78"/>
      <c r="CN35" s="78"/>
      <c r="CO35" s="78"/>
      <c r="CP35" s="171"/>
      <c r="CQ35" s="171"/>
    </row>
    <row r="36" spans="1:95" ht="15.75" x14ac:dyDescent="0.25">
      <c r="A36" s="137" t="s">
        <v>81</v>
      </c>
      <c r="B36" s="138">
        <v>143.45599999999999</v>
      </c>
      <c r="C36" s="138">
        <v>95.887600000000006</v>
      </c>
      <c r="D36" s="138">
        <v>66.841122016506816</v>
      </c>
      <c r="E36" s="138">
        <v>211.10169999999999</v>
      </c>
      <c r="F36" s="138">
        <v>203.44890000000001</v>
      </c>
      <c r="G36" s="138">
        <v>96.374827867326516</v>
      </c>
      <c r="H36" s="138">
        <v>178.0361</v>
      </c>
      <c r="I36" s="138">
        <v>172.0522</v>
      </c>
      <c r="J36" s="138">
        <v>96.638940080129814</v>
      </c>
      <c r="K36" s="138">
        <v>236.7868</v>
      </c>
      <c r="L36" s="138">
        <v>236.7868</v>
      </c>
      <c r="M36" s="138">
        <v>100</v>
      </c>
      <c r="N36" s="138">
        <v>245.24860000000001</v>
      </c>
      <c r="O36" s="138">
        <v>245.24860000000001</v>
      </c>
      <c r="P36" s="138">
        <v>100</v>
      </c>
      <c r="Q36" s="138">
        <v>241.584</v>
      </c>
      <c r="R36" s="138">
        <v>241.584</v>
      </c>
      <c r="S36" s="138">
        <v>100</v>
      </c>
      <c r="T36" s="138">
        <v>257.96109999999999</v>
      </c>
      <c r="U36" s="138">
        <v>257.95659999999998</v>
      </c>
      <c r="V36" s="138">
        <v>99.998255550933834</v>
      </c>
      <c r="W36" s="138">
        <v>306.46600000000001</v>
      </c>
      <c r="X36" s="138">
        <v>306.46600000000001</v>
      </c>
      <c r="Y36" s="138">
        <v>100</v>
      </c>
      <c r="Z36" s="138">
        <v>295.488</v>
      </c>
      <c r="AA36" s="138">
        <v>295.488</v>
      </c>
      <c r="AB36" s="138">
        <v>100</v>
      </c>
      <c r="AC36" s="138">
        <v>299.22770000000003</v>
      </c>
      <c r="AD36" s="138">
        <v>299.22770000000003</v>
      </c>
      <c r="AE36" s="138">
        <v>100</v>
      </c>
      <c r="AF36" s="138">
        <v>354.26319999999998</v>
      </c>
      <c r="AG36" s="138">
        <v>354.26319999999998</v>
      </c>
      <c r="AH36" s="138">
        <v>100</v>
      </c>
      <c r="AI36" s="138">
        <v>326.45650000000001</v>
      </c>
      <c r="AJ36" s="138">
        <v>326.45650000000001</v>
      </c>
      <c r="AK36" s="138">
        <v>100</v>
      </c>
      <c r="AL36" s="138">
        <v>358.26949999999999</v>
      </c>
      <c r="AM36" s="138">
        <v>358.26949999999999</v>
      </c>
      <c r="AN36" s="138">
        <v>100</v>
      </c>
      <c r="AO36" s="138">
        <v>369.13249999999999</v>
      </c>
      <c r="AP36" s="138">
        <v>219.1044</v>
      </c>
      <c r="AQ36" s="138">
        <v>59.356572504453013</v>
      </c>
      <c r="AR36" s="138">
        <v>386.90069999999997</v>
      </c>
      <c r="AS36" s="138">
        <v>386.90069999999997</v>
      </c>
      <c r="AT36" s="138">
        <v>100</v>
      </c>
      <c r="AU36" s="138">
        <v>285.44639999999998</v>
      </c>
      <c r="AV36" s="138">
        <v>285.44639999999998</v>
      </c>
      <c r="AW36" s="138">
        <v>100</v>
      </c>
      <c r="AX36" s="138">
        <v>401.18810000000002</v>
      </c>
      <c r="AY36" s="138">
        <v>401.18810000000002</v>
      </c>
      <c r="AZ36" s="138">
        <v>100</v>
      </c>
      <c r="BA36" s="138">
        <v>437.69400000000002</v>
      </c>
      <c r="BB36" s="138">
        <v>437.69400000000002</v>
      </c>
      <c r="BC36" s="139">
        <v>100</v>
      </c>
      <c r="BD36" s="138">
        <v>318.22140000000002</v>
      </c>
      <c r="BE36" s="138">
        <v>318.22140000000002</v>
      </c>
      <c r="BF36" s="138">
        <v>100</v>
      </c>
      <c r="BG36" s="138">
        <v>492.4434</v>
      </c>
      <c r="BH36" s="138">
        <v>492.4434</v>
      </c>
      <c r="BI36" s="138">
        <v>100</v>
      </c>
      <c r="BJ36" s="138">
        <v>490.25020000000001</v>
      </c>
      <c r="BK36" s="138">
        <v>490.25020000000001</v>
      </c>
      <c r="BL36" s="138">
        <v>100</v>
      </c>
      <c r="BM36" s="138">
        <v>388.48520000000002</v>
      </c>
      <c r="BN36" s="138">
        <v>302.71539999999999</v>
      </c>
      <c r="BO36" s="138">
        <v>77.921990335796565</v>
      </c>
      <c r="BP36" s="138">
        <v>622.15660000000003</v>
      </c>
      <c r="BQ36" s="138">
        <v>617.44240000000002</v>
      </c>
      <c r="BR36" s="140">
        <v>576.75080000000003</v>
      </c>
      <c r="BS36" s="140">
        <v>660.57040000000006</v>
      </c>
      <c r="BT36" s="140">
        <v>754.42199999999991</v>
      </c>
      <c r="BU36" s="141">
        <v>529.50599999999997</v>
      </c>
      <c r="BV36" s="140">
        <v>803.04140000000007</v>
      </c>
      <c r="BW36" s="142">
        <v>726.3293000000001</v>
      </c>
      <c r="BX36" s="143">
        <v>831.03230000000008</v>
      </c>
      <c r="BY36" s="138">
        <v>773.16769999999997</v>
      </c>
      <c r="BZ36" s="143">
        <v>1054.0124999999998</v>
      </c>
      <c r="CA36" s="143">
        <v>738.07150000000001</v>
      </c>
      <c r="CB36" s="143">
        <v>951.94740000000002</v>
      </c>
      <c r="CC36" s="138">
        <v>941.11109999999985</v>
      </c>
      <c r="CD36" s="138">
        <v>857.53520000000003</v>
      </c>
      <c r="CE36" s="142">
        <v>1087.8001999999999</v>
      </c>
      <c r="CF36" s="138">
        <v>918.82040000000006</v>
      </c>
      <c r="CG36" s="138">
        <v>757.59630000000004</v>
      </c>
      <c r="CH36" s="138">
        <v>920.38049999999998</v>
      </c>
      <c r="CI36" s="143">
        <v>926.52440000000001</v>
      </c>
      <c r="CJ36" s="143">
        <f>647.5066+18.9741+0.2676</f>
        <v>666.74830000000009</v>
      </c>
      <c r="CK36" s="143">
        <v>1068.1742999999999</v>
      </c>
      <c r="CL36" s="143">
        <v>1083.1741</v>
      </c>
      <c r="CM36" s="143">
        <f>973.1724+73.8001+0.015</f>
        <v>1046.9875000000002</v>
      </c>
      <c r="CN36" s="143">
        <f>768.912+0.0146+33.9266</f>
        <v>802.85320000000002</v>
      </c>
      <c r="CO36" s="143">
        <f>933.0794+185.6804</f>
        <v>1118.7598</v>
      </c>
      <c r="CP36" s="143">
        <f>981.4539+0.1207+221.78</f>
        <v>1203.3546000000001</v>
      </c>
      <c r="CQ36" s="143">
        <f>1038.6503+0.0002+575.9103</f>
        <v>1614.5608</v>
      </c>
    </row>
    <row r="37" spans="1:95" ht="15.75" x14ac:dyDescent="0.25">
      <c r="A37" s="45" t="s">
        <v>82</v>
      </c>
      <c r="B37" s="24">
        <v>113.0574</v>
      </c>
      <c r="C37" s="24">
        <v>0</v>
      </c>
      <c r="D37" s="24">
        <v>0</v>
      </c>
      <c r="E37" s="24">
        <v>158.99</v>
      </c>
      <c r="F37" s="24">
        <v>0</v>
      </c>
      <c r="G37" s="24">
        <v>0</v>
      </c>
      <c r="H37" s="24">
        <v>130.04130000000001</v>
      </c>
      <c r="I37" s="24">
        <v>0</v>
      </c>
      <c r="J37" s="24">
        <v>0</v>
      </c>
      <c r="K37" s="24">
        <v>155.9504</v>
      </c>
      <c r="L37" s="24">
        <v>0</v>
      </c>
      <c r="M37" s="24">
        <v>0</v>
      </c>
      <c r="N37" s="24">
        <v>265.2353</v>
      </c>
      <c r="O37" s="24">
        <v>0</v>
      </c>
      <c r="P37" s="24">
        <v>0</v>
      </c>
      <c r="Q37" s="24">
        <v>236.97640000000001</v>
      </c>
      <c r="R37" s="24">
        <v>9.5231999999999992</v>
      </c>
      <c r="S37" s="24">
        <v>4.018628015279158</v>
      </c>
      <c r="T37" s="24">
        <v>254.0702</v>
      </c>
      <c r="U37" s="24">
        <v>0</v>
      </c>
      <c r="V37" s="24">
        <v>0</v>
      </c>
      <c r="W37" s="24">
        <v>332.33629999999999</v>
      </c>
      <c r="X37" s="24">
        <v>0</v>
      </c>
      <c r="Y37" s="24">
        <v>0</v>
      </c>
      <c r="Z37" s="24">
        <v>282.42779999999999</v>
      </c>
      <c r="AA37" s="24">
        <v>0</v>
      </c>
      <c r="AB37" s="24">
        <v>0</v>
      </c>
      <c r="AC37" s="24">
        <v>404.96370000000002</v>
      </c>
      <c r="AD37" s="24">
        <v>0</v>
      </c>
      <c r="AE37" s="24">
        <v>0</v>
      </c>
      <c r="AF37" s="24">
        <v>382.84410000000003</v>
      </c>
      <c r="AG37" s="24">
        <v>0</v>
      </c>
      <c r="AH37" s="24">
        <v>0</v>
      </c>
      <c r="AI37" s="24">
        <v>341.73439999999999</v>
      </c>
      <c r="AJ37" s="24">
        <v>0</v>
      </c>
      <c r="AK37" s="24">
        <v>0</v>
      </c>
      <c r="AL37" s="24">
        <v>409.10419999999999</v>
      </c>
      <c r="AM37" s="24">
        <v>0</v>
      </c>
      <c r="AN37" s="24">
        <v>0</v>
      </c>
      <c r="AO37" s="24">
        <v>413.45420000000001</v>
      </c>
      <c r="AP37" s="24">
        <v>0</v>
      </c>
      <c r="AQ37" s="24">
        <v>0</v>
      </c>
      <c r="AR37" s="24">
        <v>384.25839999999999</v>
      </c>
      <c r="AS37" s="24">
        <v>0</v>
      </c>
      <c r="AT37" s="24">
        <v>0</v>
      </c>
      <c r="AU37" s="24">
        <v>367.33030000000002</v>
      </c>
      <c r="AV37" s="24">
        <v>0</v>
      </c>
      <c r="AW37" s="24">
        <v>0</v>
      </c>
      <c r="AX37" s="24">
        <v>449.5324</v>
      </c>
      <c r="AY37" s="24">
        <v>0</v>
      </c>
      <c r="AZ37" s="24">
        <v>0</v>
      </c>
      <c r="BA37" s="24">
        <v>472.86090000000002</v>
      </c>
      <c r="BB37" s="24">
        <v>0</v>
      </c>
      <c r="BC37" s="69">
        <v>0</v>
      </c>
      <c r="BD37" s="24">
        <v>438.49619999999999</v>
      </c>
      <c r="BE37" s="24">
        <v>0</v>
      </c>
      <c r="BF37" s="24">
        <v>0</v>
      </c>
      <c r="BG37" s="24">
        <v>476.23320000000001</v>
      </c>
      <c r="BH37" s="24">
        <v>0</v>
      </c>
      <c r="BI37" s="24">
        <v>0</v>
      </c>
      <c r="BJ37" s="24">
        <v>484.30520000000001</v>
      </c>
      <c r="BK37" s="24">
        <v>0</v>
      </c>
      <c r="BL37" s="24">
        <v>0</v>
      </c>
      <c r="BM37" s="24">
        <v>360.7122</v>
      </c>
      <c r="BN37" s="24">
        <v>0</v>
      </c>
      <c r="BO37" s="24">
        <v>0</v>
      </c>
      <c r="BP37" s="24">
        <v>0</v>
      </c>
      <c r="BQ37" s="24">
        <v>0</v>
      </c>
      <c r="BR37" s="55">
        <v>0</v>
      </c>
      <c r="BS37" s="55">
        <v>0</v>
      </c>
      <c r="BT37" s="55">
        <v>0</v>
      </c>
      <c r="BU37" s="55">
        <v>0</v>
      </c>
      <c r="BV37" s="55">
        <v>0</v>
      </c>
      <c r="BW37" s="94">
        <v>0</v>
      </c>
      <c r="BX37" s="55">
        <v>0</v>
      </c>
      <c r="BY37" s="55">
        <v>0</v>
      </c>
      <c r="BZ37" s="55">
        <v>0</v>
      </c>
      <c r="CA37" s="24">
        <v>0</v>
      </c>
      <c r="CB37" s="24">
        <v>0</v>
      </c>
      <c r="CC37" s="24">
        <v>0</v>
      </c>
      <c r="CD37" s="24">
        <v>0</v>
      </c>
      <c r="CE37" s="77">
        <v>0</v>
      </c>
      <c r="CF37" s="24">
        <v>0</v>
      </c>
      <c r="CG37" s="24">
        <v>0</v>
      </c>
      <c r="CH37" s="24">
        <v>0</v>
      </c>
      <c r="CI37" s="44">
        <v>0</v>
      </c>
      <c r="CJ37" s="44">
        <v>0</v>
      </c>
      <c r="CK37" s="44">
        <v>0</v>
      </c>
      <c r="CL37" s="44">
        <v>0</v>
      </c>
      <c r="CM37" s="44">
        <v>0</v>
      </c>
      <c r="CN37" s="44">
        <v>0</v>
      </c>
      <c r="CO37" s="44">
        <v>0</v>
      </c>
      <c r="CP37" s="44">
        <v>0</v>
      </c>
      <c r="CQ37" s="44">
        <v>0</v>
      </c>
    </row>
    <row r="38" spans="1:95" ht="15.75" x14ac:dyDescent="0.25">
      <c r="A38" s="45" t="s">
        <v>83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>
        <v>128.375</v>
      </c>
      <c r="AA38" s="24">
        <v>0</v>
      </c>
      <c r="AB38" s="24">
        <v>0</v>
      </c>
      <c r="AC38" s="24"/>
      <c r="AD38" s="24"/>
      <c r="AE38" s="24"/>
      <c r="AF38" s="24">
        <v>232.10480000000001</v>
      </c>
      <c r="AG38" s="24">
        <v>0</v>
      </c>
      <c r="AH38" s="24">
        <v>0</v>
      </c>
      <c r="AI38" s="24">
        <v>216.95770000000002</v>
      </c>
      <c r="AJ38" s="24">
        <v>0</v>
      </c>
      <c r="AK38" s="24">
        <v>0</v>
      </c>
      <c r="AL38" s="24">
        <v>170.72579999999999</v>
      </c>
      <c r="AM38" s="24">
        <v>0</v>
      </c>
      <c r="AN38" s="24">
        <v>0</v>
      </c>
      <c r="AO38" s="24">
        <v>191.76410000000001</v>
      </c>
      <c r="AP38" s="24">
        <v>0</v>
      </c>
      <c r="AQ38" s="24">
        <v>0</v>
      </c>
      <c r="AR38" s="24">
        <v>190.16040000000001</v>
      </c>
      <c r="AS38" s="24">
        <v>0</v>
      </c>
      <c r="AT38" s="24">
        <v>0</v>
      </c>
      <c r="AU38" s="24">
        <v>160.38300000000001</v>
      </c>
      <c r="AV38" s="24">
        <v>0</v>
      </c>
      <c r="AW38" s="24">
        <v>0</v>
      </c>
      <c r="AX38" s="24">
        <v>185.9956</v>
      </c>
      <c r="AY38" s="24">
        <v>0</v>
      </c>
      <c r="AZ38" s="24">
        <v>0</v>
      </c>
      <c r="BA38" s="24">
        <v>197.87020000000001</v>
      </c>
      <c r="BB38" s="24">
        <v>0</v>
      </c>
      <c r="BC38" s="69">
        <v>0</v>
      </c>
      <c r="BD38" s="24">
        <v>101.3783</v>
      </c>
      <c r="BE38" s="24">
        <v>0</v>
      </c>
      <c r="BF38" s="24">
        <v>0</v>
      </c>
      <c r="BG38" s="24">
        <v>197.15559999999999</v>
      </c>
      <c r="BH38" s="24">
        <v>0</v>
      </c>
      <c r="BI38" s="24">
        <v>0</v>
      </c>
      <c r="BJ38" s="24">
        <v>236.6319</v>
      </c>
      <c r="BK38" s="24">
        <v>0</v>
      </c>
      <c r="BL38" s="24">
        <v>0</v>
      </c>
      <c r="BM38" s="24">
        <v>186.25559999999999</v>
      </c>
      <c r="BN38" s="24">
        <v>0</v>
      </c>
      <c r="BO38" s="24">
        <v>0</v>
      </c>
      <c r="BP38" s="24">
        <v>0</v>
      </c>
      <c r="BQ38" s="24">
        <v>0</v>
      </c>
      <c r="BR38" s="55">
        <v>0</v>
      </c>
      <c r="BS38" s="55">
        <v>0</v>
      </c>
      <c r="BT38" s="55">
        <v>0</v>
      </c>
      <c r="BU38" s="55">
        <v>0</v>
      </c>
      <c r="BV38" s="55">
        <v>0</v>
      </c>
      <c r="BW38" s="94">
        <v>0</v>
      </c>
      <c r="BX38" s="55">
        <v>0</v>
      </c>
      <c r="BY38" s="55">
        <v>0</v>
      </c>
      <c r="BZ38" s="55">
        <v>0</v>
      </c>
      <c r="CA38" s="24">
        <v>0</v>
      </c>
      <c r="CB38" s="24">
        <v>0</v>
      </c>
      <c r="CC38" s="24">
        <v>0</v>
      </c>
      <c r="CD38" s="24">
        <v>0</v>
      </c>
      <c r="CE38" s="77">
        <v>0</v>
      </c>
      <c r="CF38" s="24">
        <v>0</v>
      </c>
      <c r="CG38" s="24">
        <v>0</v>
      </c>
      <c r="CH38" s="24">
        <v>0</v>
      </c>
      <c r="CI38" s="44">
        <v>0</v>
      </c>
      <c r="CJ38" s="44">
        <v>0</v>
      </c>
      <c r="CK38" s="44">
        <v>0</v>
      </c>
      <c r="CL38" s="44">
        <v>0</v>
      </c>
      <c r="CM38" s="44">
        <v>0</v>
      </c>
      <c r="CN38" s="44">
        <v>0</v>
      </c>
      <c r="CO38" s="44">
        <v>0</v>
      </c>
      <c r="CP38" s="44">
        <v>0</v>
      </c>
      <c r="CQ38" s="44">
        <v>0</v>
      </c>
    </row>
    <row r="39" spans="1:95" ht="15.75" x14ac:dyDescent="0.25">
      <c r="A39" s="45" t="s">
        <v>84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>
        <v>0</v>
      </c>
      <c r="AA39" s="24">
        <v>0</v>
      </c>
      <c r="AB39" s="24">
        <v>0</v>
      </c>
      <c r="AC39" s="24"/>
      <c r="AD39" s="24"/>
      <c r="AE39" s="24"/>
      <c r="AF39" s="24">
        <v>55.774500000000003</v>
      </c>
      <c r="AG39" s="24">
        <v>0</v>
      </c>
      <c r="AH39" s="24">
        <v>0</v>
      </c>
      <c r="AI39" s="24">
        <v>43.786500000000004</v>
      </c>
      <c r="AJ39" s="24">
        <v>0</v>
      </c>
      <c r="AK39" s="24">
        <v>0</v>
      </c>
      <c r="AL39" s="24">
        <v>59.853499999999997</v>
      </c>
      <c r="AM39" s="24">
        <v>0</v>
      </c>
      <c r="AN39" s="24">
        <v>0</v>
      </c>
      <c r="AO39" s="24">
        <v>35.843899999999998</v>
      </c>
      <c r="AP39" s="24">
        <v>0</v>
      </c>
      <c r="AQ39" s="24">
        <v>0</v>
      </c>
      <c r="AR39" s="24">
        <v>14.471</v>
      </c>
      <c r="AS39" s="24">
        <v>0</v>
      </c>
      <c r="AT39" s="24">
        <v>0</v>
      </c>
      <c r="AU39" s="24">
        <v>12.545400000000001</v>
      </c>
      <c r="AV39" s="24">
        <v>0</v>
      </c>
      <c r="AW39" s="24">
        <v>0</v>
      </c>
      <c r="AX39" s="24">
        <v>6.7598000000000003</v>
      </c>
      <c r="AY39" s="24">
        <v>0</v>
      </c>
      <c r="AZ39" s="24">
        <v>0</v>
      </c>
      <c r="BA39" s="24">
        <v>5.3970000000000002</v>
      </c>
      <c r="BB39" s="24">
        <v>0</v>
      </c>
      <c r="BC39" s="69">
        <v>0</v>
      </c>
      <c r="BD39" s="24">
        <v>5.0579999999999998</v>
      </c>
      <c r="BE39" s="24">
        <v>0</v>
      </c>
      <c r="BF39" s="24">
        <v>0</v>
      </c>
      <c r="BG39" s="24">
        <v>8.5381</v>
      </c>
      <c r="BH39" s="24">
        <v>0</v>
      </c>
      <c r="BI39" s="24">
        <v>0</v>
      </c>
      <c r="BJ39" s="24">
        <v>8.3724000000000007</v>
      </c>
      <c r="BK39" s="24">
        <v>0</v>
      </c>
      <c r="BL39" s="24">
        <v>0</v>
      </c>
      <c r="BM39" s="24">
        <v>7.9614000000000003</v>
      </c>
      <c r="BN39" s="24">
        <v>0</v>
      </c>
      <c r="BO39" s="24">
        <v>0</v>
      </c>
      <c r="BP39" s="24">
        <v>0</v>
      </c>
      <c r="BQ39" s="24">
        <v>0</v>
      </c>
      <c r="BR39" s="55">
        <v>0</v>
      </c>
      <c r="BS39" s="55">
        <v>0</v>
      </c>
      <c r="BT39" s="55">
        <v>0</v>
      </c>
      <c r="BU39" s="55">
        <v>0</v>
      </c>
      <c r="BV39" s="55">
        <v>0</v>
      </c>
      <c r="BW39" s="94">
        <v>0</v>
      </c>
      <c r="BX39" s="55">
        <v>0</v>
      </c>
      <c r="BY39" s="55">
        <v>0</v>
      </c>
      <c r="BZ39" s="55">
        <v>0</v>
      </c>
      <c r="CA39" s="24">
        <v>0</v>
      </c>
      <c r="CB39" s="24">
        <v>0</v>
      </c>
      <c r="CC39" s="24">
        <v>0</v>
      </c>
      <c r="CD39" s="24">
        <v>0</v>
      </c>
      <c r="CE39" s="77">
        <v>0</v>
      </c>
      <c r="CF39" s="24">
        <v>0</v>
      </c>
      <c r="CG39" s="24">
        <v>0</v>
      </c>
      <c r="CH39" s="24">
        <v>0</v>
      </c>
      <c r="CI39" s="44">
        <v>0</v>
      </c>
      <c r="CJ39" s="44">
        <v>0</v>
      </c>
      <c r="CK39" s="44">
        <v>0</v>
      </c>
      <c r="CL39" s="44">
        <v>0</v>
      </c>
      <c r="CM39" s="44">
        <v>0</v>
      </c>
      <c r="CN39" s="44">
        <v>0</v>
      </c>
      <c r="CO39" s="44">
        <v>0</v>
      </c>
      <c r="CP39" s="44">
        <v>0</v>
      </c>
      <c r="CQ39" s="44">
        <v>0</v>
      </c>
    </row>
    <row r="40" spans="1:95" ht="15.75" x14ac:dyDescent="0.25">
      <c r="A40" s="44" t="s">
        <v>56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344.39859999999999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67.650400000000005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69">
        <v>0</v>
      </c>
      <c r="BD40" s="24">
        <v>0</v>
      </c>
      <c r="BE40" s="24">
        <v>0</v>
      </c>
      <c r="BF40" s="24">
        <v>0</v>
      </c>
      <c r="BG40" s="24">
        <v>0</v>
      </c>
      <c r="BH40" s="24">
        <v>0</v>
      </c>
      <c r="BI40" s="24">
        <v>0</v>
      </c>
      <c r="BJ40" s="24">
        <v>0</v>
      </c>
      <c r="BK40" s="24">
        <v>0</v>
      </c>
      <c r="BL40" s="24">
        <v>0</v>
      </c>
      <c r="BM40" s="24">
        <v>350.7122</v>
      </c>
      <c r="BN40" s="24">
        <v>0</v>
      </c>
      <c r="BO40" s="24">
        <v>0</v>
      </c>
      <c r="BP40" s="24">
        <v>0</v>
      </c>
      <c r="BQ40" s="24">
        <v>0</v>
      </c>
      <c r="BR40" s="55">
        <v>0</v>
      </c>
      <c r="BS40" s="55">
        <v>0</v>
      </c>
      <c r="BT40" s="55">
        <v>0</v>
      </c>
      <c r="BU40" s="55">
        <v>0</v>
      </c>
      <c r="BV40" s="55">
        <v>0</v>
      </c>
      <c r="BW40" s="94">
        <v>0</v>
      </c>
      <c r="BX40" s="55">
        <v>0</v>
      </c>
      <c r="BY40" s="55">
        <v>0</v>
      </c>
      <c r="BZ40" s="55">
        <v>0</v>
      </c>
      <c r="CA40" s="24">
        <v>0</v>
      </c>
      <c r="CB40" s="24">
        <v>0</v>
      </c>
      <c r="CC40" s="24">
        <v>0</v>
      </c>
      <c r="CD40" s="24">
        <v>0</v>
      </c>
      <c r="CE40" s="77">
        <v>0</v>
      </c>
      <c r="CF40" s="24">
        <v>0</v>
      </c>
      <c r="CG40" s="24">
        <v>0</v>
      </c>
      <c r="CH40" s="24">
        <v>0</v>
      </c>
      <c r="CI40" s="44">
        <v>0</v>
      </c>
      <c r="CJ40" s="44">
        <v>0</v>
      </c>
      <c r="CK40" s="44">
        <v>0</v>
      </c>
      <c r="CL40" s="44">
        <v>0</v>
      </c>
      <c r="CM40" s="44">
        <v>0</v>
      </c>
      <c r="CN40" s="44">
        <v>0</v>
      </c>
      <c r="CO40" s="44">
        <v>0</v>
      </c>
      <c r="CP40" s="44">
        <v>0</v>
      </c>
      <c r="CQ40" s="44">
        <v>0</v>
      </c>
    </row>
    <row r="41" spans="1:95" ht="15.75" x14ac:dyDescent="0.25">
      <c r="A41" s="13" t="s">
        <v>85</v>
      </c>
      <c r="B41" s="12">
        <v>265.93450000000001</v>
      </c>
      <c r="C41" s="12">
        <v>95.887600000000006</v>
      </c>
      <c r="D41" s="12">
        <v>36.056848584895903</v>
      </c>
      <c r="E41" s="12">
        <v>390.10789999999997</v>
      </c>
      <c r="F41" s="12">
        <v>203.44890000000001</v>
      </c>
      <c r="G41" s="12">
        <v>52.151955907583528</v>
      </c>
      <c r="H41" s="12">
        <v>688.79719999999998</v>
      </c>
      <c r="I41" s="12">
        <v>172.0522</v>
      </c>
      <c r="J41" s="12">
        <v>24.97864393176976</v>
      </c>
      <c r="K41" s="12">
        <v>392.73720000000003</v>
      </c>
      <c r="L41" s="12">
        <v>236.7868</v>
      </c>
      <c r="M41" s="12">
        <v>60.291411152292163</v>
      </c>
      <c r="N41" s="12">
        <v>510.48390000000001</v>
      </c>
      <c r="O41" s="12">
        <v>245.24860000000001</v>
      </c>
      <c r="P41" s="12">
        <v>48.042377046563075</v>
      </c>
      <c r="Q41" s="12">
        <v>542.3963</v>
      </c>
      <c r="R41" s="12">
        <v>251.10720000000001</v>
      </c>
      <c r="S41" s="12">
        <v>46.295891030230116</v>
      </c>
      <c r="T41" s="12">
        <v>620.06989999999996</v>
      </c>
      <c r="U41" s="12">
        <v>257.95659999999998</v>
      </c>
      <c r="V41" s="12">
        <v>41.601213024531589</v>
      </c>
      <c r="W41" s="12">
        <v>786.67380000000003</v>
      </c>
      <c r="X41" s="12">
        <v>306.46600000000001</v>
      </c>
      <c r="Y41" s="12">
        <v>38.957189117013939</v>
      </c>
      <c r="Z41" s="12">
        <v>706.29079999999999</v>
      </c>
      <c r="AA41" s="12">
        <v>295.488</v>
      </c>
      <c r="AB41" s="12">
        <v>41.836591953342733</v>
      </c>
      <c r="AC41" s="12">
        <v>917.46029999999996</v>
      </c>
      <c r="AD41" s="12">
        <v>299.22770000000003</v>
      </c>
      <c r="AE41" s="12">
        <v>32.6147845307312</v>
      </c>
      <c r="AF41" s="12">
        <v>1024.9866</v>
      </c>
      <c r="AG41" s="12">
        <v>354.26319999999998</v>
      </c>
      <c r="AH41" s="12">
        <v>34.562715258911673</v>
      </c>
      <c r="AI41" s="12">
        <v>928.93510000000015</v>
      </c>
      <c r="AJ41" s="12">
        <v>326.45650000000001</v>
      </c>
      <c r="AK41" s="12">
        <v>35.143090190046635</v>
      </c>
      <c r="AL41" s="12">
        <v>997.95299999999997</v>
      </c>
      <c r="AM41" s="12">
        <v>358.26949999999999</v>
      </c>
      <c r="AN41" s="12">
        <v>35.900438196989235</v>
      </c>
      <c r="AO41" s="12">
        <v>1010.1947</v>
      </c>
      <c r="AP41" s="12">
        <v>219.1044</v>
      </c>
      <c r="AQ41" s="12">
        <v>21.689323850144927</v>
      </c>
      <c r="AR41" s="12">
        <v>975.79049999999995</v>
      </c>
      <c r="AS41" s="12">
        <v>386.90069999999997</v>
      </c>
      <c r="AT41" s="12">
        <v>39.649976096303455</v>
      </c>
      <c r="AU41" s="12">
        <v>825.70510000000002</v>
      </c>
      <c r="AV41" s="12">
        <v>285.44639999999998</v>
      </c>
      <c r="AW41" s="12">
        <v>34.570017794488614</v>
      </c>
      <c r="AX41" s="12">
        <v>1043.4759000000001</v>
      </c>
      <c r="AY41" s="12">
        <v>401.18810000000002</v>
      </c>
      <c r="AZ41" s="12">
        <v>38.447279903637444</v>
      </c>
      <c r="BA41" s="12">
        <v>1113.8221000000001</v>
      </c>
      <c r="BB41" s="12">
        <v>437.69400000000002</v>
      </c>
      <c r="BC41" s="12">
        <v>39.296580665799318</v>
      </c>
      <c r="BD41" s="12">
        <v>863.15390000000002</v>
      </c>
      <c r="BE41" s="12">
        <v>318.22140000000002</v>
      </c>
      <c r="BF41" s="12">
        <v>36.867284038223083</v>
      </c>
      <c r="BG41" s="12">
        <v>1174.3703</v>
      </c>
      <c r="BH41" s="12">
        <v>492.4434</v>
      </c>
      <c r="BI41" s="12">
        <v>41.932548873213157</v>
      </c>
      <c r="BJ41" s="12">
        <v>1219.5597</v>
      </c>
      <c r="BK41" s="12">
        <v>490.25020000000001</v>
      </c>
      <c r="BL41" s="12">
        <v>40.198950490082609</v>
      </c>
      <c r="BM41" s="12">
        <v>1220.5597</v>
      </c>
      <c r="BN41" s="12">
        <v>302.71539999999999</v>
      </c>
      <c r="BO41" s="12">
        <v>24.801359572989341</v>
      </c>
      <c r="BP41" s="12">
        <v>622.15660000000003</v>
      </c>
      <c r="BQ41" s="12">
        <v>617.44240000000002</v>
      </c>
      <c r="BR41" s="57">
        <v>576.75080000000003</v>
      </c>
      <c r="BS41" s="57">
        <v>660.57040000000006</v>
      </c>
      <c r="BT41" s="57">
        <v>754.42199999999991</v>
      </c>
      <c r="BU41" s="57">
        <v>529.50599999999997</v>
      </c>
      <c r="BV41" s="57">
        <v>803.04140000000007</v>
      </c>
      <c r="BW41" s="87">
        <v>726.3293000000001</v>
      </c>
      <c r="BX41" s="108">
        <v>831.03230000000008</v>
      </c>
      <c r="BY41" s="108">
        <v>773.16769999999997</v>
      </c>
      <c r="BZ41" s="108">
        <v>1054.0124999999998</v>
      </c>
      <c r="CA41" s="13">
        <v>738.07150000000001</v>
      </c>
      <c r="CB41" s="13">
        <v>951.94740000000002</v>
      </c>
      <c r="CC41" s="12">
        <v>941.11109999999985</v>
      </c>
      <c r="CD41" s="12">
        <v>857.53520000000003</v>
      </c>
      <c r="CE41" s="81">
        <v>1087.8001999999999</v>
      </c>
      <c r="CF41" s="12">
        <v>918.82040000000006</v>
      </c>
      <c r="CG41" s="12">
        <v>757.59630000000004</v>
      </c>
      <c r="CH41" s="12">
        <v>920.38049999999998</v>
      </c>
      <c r="CI41" s="12">
        <v>926.52440000000001</v>
      </c>
      <c r="CJ41" s="53">
        <f>647.5066+18.9741+0.2676</f>
        <v>666.74830000000009</v>
      </c>
      <c r="CK41" s="53">
        <v>1068.1742999999999</v>
      </c>
      <c r="CL41" s="151">
        <v>1083.1741</v>
      </c>
      <c r="CM41" s="53">
        <f>973.1724+73.8001+0.015</f>
        <v>1046.9875000000002</v>
      </c>
      <c r="CN41" s="53">
        <f>768.912+0.0146+33.9266</f>
        <v>802.85320000000002</v>
      </c>
      <c r="CO41" s="53">
        <f>933.0794+185.6804</f>
        <v>1118.7598</v>
      </c>
      <c r="CP41" s="53">
        <f>981.4539+0.1207+221.78</f>
        <v>1203.3546000000001</v>
      </c>
      <c r="CQ41" s="53">
        <f>1038.6503+0.0002+575.9103</f>
        <v>1614.5608</v>
      </c>
    </row>
    <row r="42" spans="1:95" ht="15.75" x14ac:dyDescent="0.25">
      <c r="A42" s="11" t="s">
        <v>86</v>
      </c>
      <c r="B42" s="12">
        <v>113.50830000000001</v>
      </c>
      <c r="C42" s="12">
        <v>16.010000000000002</v>
      </c>
      <c r="D42" s="12">
        <v>14.104695427559042</v>
      </c>
      <c r="E42" s="12">
        <v>117.2779</v>
      </c>
      <c r="F42" s="12">
        <v>12.158200000000001</v>
      </c>
      <c r="G42" s="12">
        <v>10.367000091236287</v>
      </c>
      <c r="H42" s="12">
        <v>94.921599999999998</v>
      </c>
      <c r="I42" s="12">
        <v>13.970499999999999</v>
      </c>
      <c r="J42" s="12">
        <v>14.717935643731247</v>
      </c>
      <c r="K42" s="12">
        <v>214.66630000000001</v>
      </c>
      <c r="L42" s="12">
        <v>23.449200000000001</v>
      </c>
      <c r="M42" s="12">
        <v>10.92355903092381</v>
      </c>
      <c r="N42" s="12">
        <v>268.15010000000001</v>
      </c>
      <c r="O42" s="12">
        <v>29.459900000000001</v>
      </c>
      <c r="P42" s="12">
        <v>10.986346825900867</v>
      </c>
      <c r="Q42" s="12">
        <v>188.55109999999999</v>
      </c>
      <c r="R42" s="12">
        <v>12.6988</v>
      </c>
      <c r="S42" s="12">
        <v>6.7349381679555318</v>
      </c>
      <c r="T42" s="12">
        <v>308.74790000000002</v>
      </c>
      <c r="U42" s="12">
        <v>20.1311</v>
      </c>
      <c r="V42" s="12">
        <v>6.5202386801659209</v>
      </c>
      <c r="W42" s="12">
        <v>318.5179</v>
      </c>
      <c r="X42" s="12">
        <v>26.363199999999999</v>
      </c>
      <c r="Y42" s="12">
        <v>8.2768346771091981</v>
      </c>
      <c r="Z42" s="12">
        <v>232.9203</v>
      </c>
      <c r="AA42" s="12">
        <v>15.7439</v>
      </c>
      <c r="AB42" s="12">
        <v>6.7593507307005876</v>
      </c>
      <c r="AC42" s="12">
        <v>304.03899999999999</v>
      </c>
      <c r="AD42" s="12">
        <v>27.543099999999999</v>
      </c>
      <c r="AE42" s="12">
        <v>9.0590680800818326</v>
      </c>
      <c r="AF42" s="12">
        <v>240.65819999999999</v>
      </c>
      <c r="AG42" s="12">
        <v>17.115600000000001</v>
      </c>
      <c r="AH42" s="12">
        <v>7.1119953527450974</v>
      </c>
      <c r="AI42" s="12">
        <v>225.6157</v>
      </c>
      <c r="AJ42" s="12">
        <v>8.9809000000000001</v>
      </c>
      <c r="AK42" s="12">
        <v>3.9806183700868338</v>
      </c>
      <c r="AL42" s="12">
        <v>426.5806</v>
      </c>
      <c r="AM42" s="12">
        <v>25.011299999999999</v>
      </c>
      <c r="AN42" s="12">
        <v>5.8632061561168038</v>
      </c>
      <c r="AO42" s="12">
        <v>378.53390000000002</v>
      </c>
      <c r="AP42" s="12">
        <v>25.011299999999999</v>
      </c>
      <c r="AQ42" s="12">
        <v>6.607413497179512</v>
      </c>
      <c r="AR42" s="12">
        <v>218.13229999999999</v>
      </c>
      <c r="AS42" s="12">
        <v>15.762499999999999</v>
      </c>
      <c r="AT42" s="12">
        <v>7.2261191946355492</v>
      </c>
      <c r="AU42" s="12">
        <v>194.03200000000001</v>
      </c>
      <c r="AV42" s="12">
        <v>10.8293</v>
      </c>
      <c r="AW42" s="12">
        <v>5.5811927929413701</v>
      </c>
      <c r="AX42" s="12">
        <v>271.9864</v>
      </c>
      <c r="AY42" s="12">
        <v>19.700199999999999</v>
      </c>
      <c r="AZ42" s="12">
        <v>7.2430827423724127</v>
      </c>
      <c r="BA42" s="12">
        <v>306.15210000000002</v>
      </c>
      <c r="BB42" s="12">
        <v>14.701000000000001</v>
      </c>
      <c r="BC42" s="12">
        <v>4.8018615583561246</v>
      </c>
      <c r="BD42" s="12">
        <v>269.03250000000003</v>
      </c>
      <c r="BE42" s="12">
        <v>10.249000000000001</v>
      </c>
      <c r="BF42" s="12">
        <v>3.8095769098528987</v>
      </c>
      <c r="BG42" s="12">
        <v>332.90960000000001</v>
      </c>
      <c r="BH42" s="12">
        <v>26.5441</v>
      </c>
      <c r="BI42" s="12">
        <v>7.9733657425319056</v>
      </c>
      <c r="BJ42" s="12">
        <v>321.72949999999997</v>
      </c>
      <c r="BK42" s="12">
        <v>6.8000999999999996</v>
      </c>
      <c r="BL42" s="12">
        <v>2.1136078600190533</v>
      </c>
      <c r="BM42" s="12">
        <v>303.279</v>
      </c>
      <c r="BN42" s="12">
        <v>5.0555000000000003</v>
      </c>
      <c r="BO42" s="12">
        <v>1.6669469366490923</v>
      </c>
      <c r="BP42" s="12">
        <v>29.2425</v>
      </c>
      <c r="BQ42" s="12">
        <v>25.8811</v>
      </c>
      <c r="BR42" s="57">
        <v>15.524899999999999</v>
      </c>
      <c r="BS42" s="57">
        <v>29.539899999999999</v>
      </c>
      <c r="BT42" s="57">
        <v>12.047799999999999</v>
      </c>
      <c r="BU42" s="12">
        <v>8.1535000000000011</v>
      </c>
      <c r="BV42" s="57">
        <v>25.860199999999999</v>
      </c>
      <c r="BW42" s="81">
        <v>17.906099999999999</v>
      </c>
      <c r="BX42" s="13">
        <v>10.5961</v>
      </c>
      <c r="BY42" s="109">
        <v>13.6577</v>
      </c>
      <c r="BZ42" s="13">
        <v>10.3353</v>
      </c>
      <c r="CA42" s="13">
        <v>7.2816000000000001</v>
      </c>
      <c r="CB42" s="13">
        <v>9.0396000000000001</v>
      </c>
      <c r="CC42" s="12">
        <v>6.4432999999999998</v>
      </c>
      <c r="CD42" s="12">
        <v>4.9377000000000004</v>
      </c>
      <c r="CE42" s="81">
        <v>3.8517000000000001</v>
      </c>
      <c r="CF42" s="12">
        <v>10.1737</v>
      </c>
      <c r="CG42" s="12">
        <v>10.156700000000001</v>
      </c>
      <c r="CH42" s="12">
        <v>34.656099999999995</v>
      </c>
      <c r="CI42" s="13">
        <v>54.204700000000003</v>
      </c>
      <c r="CJ42" s="13">
        <v>52.179000000000002</v>
      </c>
      <c r="CK42" s="13">
        <v>37.251100000000001</v>
      </c>
      <c r="CL42" s="13">
        <v>39.250999999999998</v>
      </c>
      <c r="CM42" s="13">
        <f>44+0.0003</f>
        <v>44.000300000000003</v>
      </c>
      <c r="CN42" s="13">
        <f>41.7926</f>
        <v>41.7926</v>
      </c>
      <c r="CO42" s="13">
        <f>40.7005+0.0007</f>
        <v>40.7012</v>
      </c>
      <c r="CP42" s="13">
        <f>48.08+0.75</f>
        <v>48.83</v>
      </c>
      <c r="CQ42" s="13">
        <f>39.7003+6.1506</f>
        <v>45.850899999999996</v>
      </c>
    </row>
    <row r="43" spans="1:95" ht="15.75" x14ac:dyDescent="0.25">
      <c r="A43" s="19" t="s">
        <v>87</v>
      </c>
      <c r="B43" s="20">
        <v>379.44279999999998</v>
      </c>
      <c r="C43" s="20">
        <v>111.8976</v>
      </c>
      <c r="D43" s="20">
        <v>29.48997846315703</v>
      </c>
      <c r="E43" s="20">
        <v>507.38580000000002</v>
      </c>
      <c r="F43" s="20">
        <v>215.6071</v>
      </c>
      <c r="G43" s="20">
        <v>42.493719769059361</v>
      </c>
      <c r="H43" s="20">
        <v>783.71879999999999</v>
      </c>
      <c r="I43" s="20">
        <v>186.02269999999999</v>
      </c>
      <c r="J43" s="20">
        <v>23.735898641196304</v>
      </c>
      <c r="K43" s="20">
        <v>607.40350000000001</v>
      </c>
      <c r="L43" s="20">
        <v>260.23599999999999</v>
      </c>
      <c r="M43" s="20">
        <v>42.844007319681232</v>
      </c>
      <c r="N43" s="20">
        <v>778.63400000000001</v>
      </c>
      <c r="O43" s="20">
        <v>274.70850000000002</v>
      </c>
      <c r="P43" s="20">
        <v>35.28082513735594</v>
      </c>
      <c r="Q43" s="20">
        <v>730.94740000000002</v>
      </c>
      <c r="R43" s="20">
        <v>263.80599999999998</v>
      </c>
      <c r="S43" s="20">
        <v>36.09096906289016</v>
      </c>
      <c r="T43" s="20">
        <v>928.81780000000003</v>
      </c>
      <c r="U43" s="20">
        <v>278.08769999999998</v>
      </c>
      <c r="V43" s="20">
        <v>29.939962390901638</v>
      </c>
      <c r="W43" s="20">
        <v>1105.1917000000001</v>
      </c>
      <c r="X43" s="20">
        <v>332.82920000000001</v>
      </c>
      <c r="Y43" s="20">
        <v>30.115065105899724</v>
      </c>
      <c r="Z43" s="20">
        <v>939.21109999999999</v>
      </c>
      <c r="AA43" s="20">
        <v>311.2319</v>
      </c>
      <c r="AB43" s="20">
        <v>33.137587492311368</v>
      </c>
      <c r="AC43" s="20">
        <v>1221.4992999999999</v>
      </c>
      <c r="AD43" s="20">
        <v>326.77080000000001</v>
      </c>
      <c r="AE43" s="20">
        <v>26.751615821638214</v>
      </c>
      <c r="AF43" s="20">
        <v>1265.6448</v>
      </c>
      <c r="AG43" s="20">
        <v>371.37880000000001</v>
      </c>
      <c r="AH43" s="20">
        <v>29.343051067724531</v>
      </c>
      <c r="AI43" s="20">
        <v>1154.5508000000002</v>
      </c>
      <c r="AJ43" s="20">
        <v>335.43740000000003</v>
      </c>
      <c r="AK43" s="20">
        <v>29.053498555455505</v>
      </c>
      <c r="AL43" s="20">
        <v>1424.5336</v>
      </c>
      <c r="AM43" s="20">
        <v>383.2808</v>
      </c>
      <c r="AN43" s="20">
        <v>26.905704435472778</v>
      </c>
      <c r="AO43" s="20">
        <v>1388.7285999999999</v>
      </c>
      <c r="AP43" s="20">
        <v>244.1157</v>
      </c>
      <c r="AQ43" s="20">
        <v>17.578359083265084</v>
      </c>
      <c r="AR43" s="20">
        <v>1193.9227999999998</v>
      </c>
      <c r="AS43" s="20">
        <v>402.66319999999996</v>
      </c>
      <c r="AT43" s="20">
        <v>33.726066710510935</v>
      </c>
      <c r="AU43" s="20">
        <v>1019.7371000000001</v>
      </c>
      <c r="AV43" s="20">
        <v>296.27569999999997</v>
      </c>
      <c r="AW43" s="20">
        <v>29.054125813408177</v>
      </c>
      <c r="AX43" s="20">
        <v>1315.4623000000001</v>
      </c>
      <c r="AY43" s="20">
        <v>420.88830000000002</v>
      </c>
      <c r="AZ43" s="20">
        <v>31.995466536745294</v>
      </c>
      <c r="BA43" s="20">
        <v>1419.9742000000001</v>
      </c>
      <c r="BB43" s="20">
        <v>452.39500000000004</v>
      </c>
      <c r="BC43" s="20">
        <v>31.859381670455704</v>
      </c>
      <c r="BD43" s="20">
        <v>1132.1864</v>
      </c>
      <c r="BE43" s="20">
        <v>328.47040000000004</v>
      </c>
      <c r="BF43" s="20">
        <v>29.012042539991651</v>
      </c>
      <c r="BG43" s="20">
        <v>1507.2799</v>
      </c>
      <c r="BH43" s="20">
        <v>518.98749999999995</v>
      </c>
      <c r="BI43" s="20">
        <v>34.432058703894342</v>
      </c>
      <c r="BJ43" s="20">
        <v>1541.2891999999999</v>
      </c>
      <c r="BK43" s="20">
        <v>497.05029999999999</v>
      </c>
      <c r="BL43" s="20">
        <v>32.248996489432351</v>
      </c>
      <c r="BM43" s="20">
        <v>1523.8387</v>
      </c>
      <c r="BN43" s="20">
        <v>307.77089999999998</v>
      </c>
      <c r="BO43" s="20">
        <v>20.197078601560651</v>
      </c>
      <c r="BP43" s="20">
        <v>651.39909999999998</v>
      </c>
      <c r="BQ43" s="20">
        <v>643.32349999999997</v>
      </c>
      <c r="BR43" s="59">
        <v>592.27570000000003</v>
      </c>
      <c r="BS43" s="59">
        <v>690.11030000000005</v>
      </c>
      <c r="BT43" s="59">
        <v>766.46979999999996</v>
      </c>
      <c r="BU43" s="59">
        <v>537.65949999999998</v>
      </c>
      <c r="BV43" s="59">
        <v>828.90160000000003</v>
      </c>
      <c r="BW43" s="88">
        <v>744.23540000000014</v>
      </c>
      <c r="BX43" s="88">
        <v>841.62840000000006</v>
      </c>
      <c r="BY43" s="88">
        <v>786.82539999999995</v>
      </c>
      <c r="BZ43" s="88">
        <v>1064.3477999999998</v>
      </c>
      <c r="CA43" s="88">
        <v>745.35310000000004</v>
      </c>
      <c r="CB43" s="88">
        <v>960.98699999999997</v>
      </c>
      <c r="CC43" s="88">
        <v>947.55439999999987</v>
      </c>
      <c r="CD43" s="88">
        <v>862.47289999999998</v>
      </c>
      <c r="CE43" s="88">
        <v>1091.6518999999998</v>
      </c>
      <c r="CF43" s="59">
        <v>928.99410000000012</v>
      </c>
      <c r="CG43" s="59">
        <v>767.75300000000004</v>
      </c>
      <c r="CH43" s="59">
        <v>955.03660000000002</v>
      </c>
      <c r="CI43" s="59">
        <v>980.72910000000002</v>
      </c>
      <c r="CJ43" s="59">
        <f>SUM(CJ41:CJ42)</f>
        <v>718.92730000000006</v>
      </c>
      <c r="CK43" s="59">
        <v>1105.4254000000001</v>
      </c>
      <c r="CL43" s="59">
        <v>1122.4250999999999</v>
      </c>
      <c r="CM43" s="20">
        <f>SUM(CM41:CM42)</f>
        <v>1090.9878000000001</v>
      </c>
      <c r="CN43" s="20">
        <f>SUM(CN41:CN42)</f>
        <v>844.64580000000001</v>
      </c>
      <c r="CO43" s="20">
        <f>SUM(CO41:CO42)</f>
        <v>1159.461</v>
      </c>
      <c r="CP43" s="20">
        <f>SUM(CP41:CP42)</f>
        <v>1252.1846</v>
      </c>
      <c r="CQ43" s="20">
        <f>SUM(CQ41:CQ42)</f>
        <v>1660.4116999999999</v>
      </c>
    </row>
    <row r="44" spans="1:95" ht="15.75" x14ac:dyDescent="0.25">
      <c r="A44" s="22" t="s">
        <v>88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15"/>
      <c r="AJ44" s="15"/>
      <c r="AK44" s="15"/>
      <c r="AL44" s="23"/>
      <c r="AM44" s="23"/>
      <c r="AN44" s="23"/>
      <c r="AO44" s="23"/>
      <c r="AP44" s="23"/>
      <c r="AQ44" s="23"/>
      <c r="AR44" s="15"/>
      <c r="AS44" s="15"/>
      <c r="AT44" s="15"/>
      <c r="AU44" s="23"/>
      <c r="AV44" s="23"/>
      <c r="AW44" s="23"/>
      <c r="AX44" s="15"/>
      <c r="AY44" s="15"/>
      <c r="AZ44" s="15"/>
      <c r="BA44" s="23"/>
      <c r="BB44" s="23"/>
      <c r="BC44" s="23"/>
      <c r="BD44" s="23"/>
      <c r="BE44" s="23"/>
      <c r="BF44" s="79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56"/>
      <c r="BS44" s="68"/>
      <c r="BT44" s="54"/>
      <c r="BU44" s="78"/>
      <c r="BV44" s="54"/>
      <c r="BW44" s="90"/>
      <c r="BX44" s="78"/>
      <c r="BY44" s="112"/>
      <c r="BZ44" s="78"/>
      <c r="CA44" s="78"/>
      <c r="CB44" s="78"/>
      <c r="CC44" s="23"/>
      <c r="CD44" s="23"/>
      <c r="CE44" s="79"/>
      <c r="CF44" s="23"/>
      <c r="CG44" s="23"/>
      <c r="CH44" s="23"/>
      <c r="CI44" s="78"/>
      <c r="CJ44" s="78"/>
      <c r="CK44" s="78"/>
      <c r="CL44" s="78"/>
      <c r="CM44" s="78"/>
      <c r="CN44" s="78"/>
      <c r="CO44" s="78"/>
      <c r="CP44" s="171"/>
      <c r="CQ44" s="171"/>
    </row>
    <row r="45" spans="1:95" ht="15.75" x14ac:dyDescent="0.25">
      <c r="A45" s="44" t="s">
        <v>89</v>
      </c>
      <c r="B45" s="24">
        <v>0.1956</v>
      </c>
      <c r="C45" s="24">
        <v>0</v>
      </c>
      <c r="D45" s="24">
        <v>0</v>
      </c>
      <c r="E45" s="24">
        <v>0.67710000000000004</v>
      </c>
      <c r="F45" s="24">
        <v>0</v>
      </c>
      <c r="G45" s="24">
        <v>0</v>
      </c>
      <c r="H45" s="24">
        <v>1.2438</v>
      </c>
      <c r="I45" s="24">
        <v>0</v>
      </c>
      <c r="J45" s="24">
        <v>0</v>
      </c>
      <c r="K45" s="24">
        <v>1.8097000000000001</v>
      </c>
      <c r="L45" s="24">
        <v>0</v>
      </c>
      <c r="M45" s="24">
        <v>0</v>
      </c>
      <c r="N45" s="24">
        <v>0.70430000000000004</v>
      </c>
      <c r="O45" s="24">
        <v>3.3599999999999998E-2</v>
      </c>
      <c r="P45" s="24">
        <v>4.770694306403521</v>
      </c>
      <c r="Q45" s="24">
        <v>0.4027</v>
      </c>
      <c r="R45" s="24">
        <v>0</v>
      </c>
      <c r="S45" s="24">
        <v>0</v>
      </c>
      <c r="T45" s="24">
        <v>9.0142000000000007</v>
      </c>
      <c r="U45" s="24">
        <v>2.1371000000000002</v>
      </c>
      <c r="V45" s="24">
        <v>23.708149364336268</v>
      </c>
      <c r="W45" s="24">
        <v>6.1166</v>
      </c>
      <c r="X45" s="24">
        <v>0.83579999999999999</v>
      </c>
      <c r="Y45" s="24">
        <v>13.664454108491645</v>
      </c>
      <c r="Z45" s="24">
        <v>5.2591000000000001</v>
      </c>
      <c r="AA45" s="24">
        <v>0.82440000000000002</v>
      </c>
      <c r="AB45" s="24">
        <v>15.675685953870433</v>
      </c>
      <c r="AC45" s="24">
        <v>19.168700000000001</v>
      </c>
      <c r="AD45" s="24">
        <v>3.0809000000000002</v>
      </c>
      <c r="AE45" s="24">
        <v>16.072555781038879</v>
      </c>
      <c r="AF45" s="24">
        <v>10.1309</v>
      </c>
      <c r="AG45" s="24">
        <v>1.2435</v>
      </c>
      <c r="AH45" s="24">
        <v>12.274329032958573</v>
      </c>
      <c r="AI45" s="24">
        <v>9.1760000000000002</v>
      </c>
      <c r="AJ45" s="24">
        <v>1.2193000000000001</v>
      </c>
      <c r="AK45" s="24">
        <v>13.28792502179599</v>
      </c>
      <c r="AL45" s="24">
        <v>24.257200000000001</v>
      </c>
      <c r="AM45" s="24">
        <v>4.0736999999999997</v>
      </c>
      <c r="AN45" s="24">
        <v>16.793776693105549</v>
      </c>
      <c r="AO45" s="24">
        <v>34.257199999999997</v>
      </c>
      <c r="AP45" s="24">
        <v>4.0736999999999997</v>
      </c>
      <c r="AQ45" s="24">
        <v>11.891514776455752</v>
      </c>
      <c r="AR45" s="24">
        <v>46.546300000000002</v>
      </c>
      <c r="AS45" s="24">
        <v>8.5602999999999998</v>
      </c>
      <c r="AT45" s="24">
        <v>18.39093547714856</v>
      </c>
      <c r="AU45" s="24">
        <v>39.484000000000002</v>
      </c>
      <c r="AV45" s="24">
        <v>6.4512</v>
      </c>
      <c r="AW45" s="24">
        <v>16.33877013473812</v>
      </c>
      <c r="AX45" s="24">
        <v>78.084699999999998</v>
      </c>
      <c r="AY45" s="24">
        <v>14.05</v>
      </c>
      <c r="AZ45" s="24">
        <v>17.993281654408612</v>
      </c>
      <c r="BA45" s="24">
        <v>43.954900000000002</v>
      </c>
      <c r="BB45" s="24">
        <v>7.9692999999999996</v>
      </c>
      <c r="BC45" s="24">
        <v>18.130629349628823</v>
      </c>
      <c r="BD45" s="24">
        <v>34.464199999999998</v>
      </c>
      <c r="BE45" s="24">
        <v>4.8811999999999998</v>
      </c>
      <c r="BF45" s="24">
        <v>14.163102581809531</v>
      </c>
      <c r="BG45" s="24">
        <v>0.153</v>
      </c>
      <c r="BH45" s="24">
        <v>1E-4</v>
      </c>
      <c r="BI45" s="24">
        <v>6.535947712418301E-2</v>
      </c>
      <c r="BJ45" s="24">
        <v>0.1512</v>
      </c>
      <c r="BK45" s="24">
        <v>4.0000000000000002E-4</v>
      </c>
      <c r="BL45" s="24">
        <v>0.26455026455026459</v>
      </c>
      <c r="BM45" s="24">
        <v>0</v>
      </c>
      <c r="BN45" s="24">
        <v>0</v>
      </c>
      <c r="BO45" s="24">
        <v>0</v>
      </c>
      <c r="BP45" s="24">
        <v>0.54559999999999997</v>
      </c>
      <c r="BQ45" s="24">
        <v>6.1999999999999998E-3</v>
      </c>
      <c r="BR45" s="55">
        <v>5.7000000000000002E-3</v>
      </c>
      <c r="BS45" s="55">
        <v>0.1003</v>
      </c>
      <c r="BT45" s="55">
        <v>0.02</v>
      </c>
      <c r="BU45" s="44">
        <v>0.02</v>
      </c>
      <c r="BV45" s="55">
        <v>2.1000000000000001E-2</v>
      </c>
      <c r="BW45" s="77">
        <v>2.0799999999999999E-2</v>
      </c>
      <c r="BX45" s="44">
        <v>1.9199999999999998E-2</v>
      </c>
      <c r="BY45" s="107">
        <v>2.1000000000000001E-2</v>
      </c>
      <c r="BZ45" s="44">
        <v>2.8199999999999999E-2</v>
      </c>
      <c r="CA45" s="44">
        <v>2.1899999999999999E-2</v>
      </c>
      <c r="CB45" s="44">
        <v>2.1399999999999999E-2</v>
      </c>
      <c r="CC45" s="24">
        <v>2.4E-2</v>
      </c>
      <c r="CD45" s="24">
        <v>2.3099999999999999E-2</v>
      </c>
      <c r="CE45" s="77">
        <v>2.1399999999999999E-2</v>
      </c>
      <c r="CF45" s="24">
        <v>2.4400000000000002E-2</v>
      </c>
      <c r="CG45" s="24">
        <v>2.2200000000000001E-2</v>
      </c>
      <c r="CH45" s="24">
        <v>9.0213999999999999</v>
      </c>
      <c r="CI45" s="44">
        <v>4.7500000000000001E-2</v>
      </c>
      <c r="CJ45" s="44">
        <v>2.75E-2</v>
      </c>
      <c r="CK45" s="44">
        <v>7.1900000000000006E-2</v>
      </c>
      <c r="CL45" s="44">
        <v>7.1999999999999995E-2</v>
      </c>
      <c r="CM45" s="44">
        <v>2.5999999999999999E-2</v>
      </c>
      <c r="CN45" s="44">
        <v>0</v>
      </c>
      <c r="CO45" s="44">
        <v>88.527699999999996</v>
      </c>
      <c r="CP45" s="171">
        <v>12.533099999999999</v>
      </c>
      <c r="CQ45" s="171">
        <v>13.428599999999999</v>
      </c>
    </row>
    <row r="46" spans="1:95" ht="15.75" x14ac:dyDescent="0.25">
      <c r="A46" s="44" t="s">
        <v>90</v>
      </c>
      <c r="B46" s="24">
        <v>5.2041000000000004</v>
      </c>
      <c r="C46" s="24">
        <v>4.0500000000000001E-2</v>
      </c>
      <c r="D46" s="24">
        <v>0.77823254741453851</v>
      </c>
      <c r="E46" s="24">
        <v>14.5237</v>
      </c>
      <c r="F46" s="24">
        <v>4.3499999999999997E-2</v>
      </c>
      <c r="G46" s="24">
        <v>0.29951045532474507</v>
      </c>
      <c r="H46" s="24">
        <v>14.632899999999999</v>
      </c>
      <c r="I46" s="24">
        <v>4.6199999999999998E-2</v>
      </c>
      <c r="J46" s="24">
        <v>0.31572688940674781</v>
      </c>
      <c r="K46" s="24">
        <v>7.3064999999999998</v>
      </c>
      <c r="L46" s="24">
        <v>4.7E-2</v>
      </c>
      <c r="M46" s="24">
        <v>0.90313406736995827</v>
      </c>
      <c r="N46" s="24">
        <v>3.2532000000000001</v>
      </c>
      <c r="O46" s="24">
        <v>0.1759</v>
      </c>
      <c r="P46" s="24">
        <v>5.4069838927824909</v>
      </c>
      <c r="Q46" s="24">
        <v>2.9727000000000001</v>
      </c>
      <c r="R46" s="24">
        <v>0.17080000000000001</v>
      </c>
      <c r="S46" s="24">
        <v>5.7456184613314498</v>
      </c>
      <c r="T46" s="24">
        <v>52.915199999999999</v>
      </c>
      <c r="U46" s="24">
        <v>0.51259999999999994</v>
      </c>
      <c r="V46" s="24">
        <v>0.968719762941461</v>
      </c>
      <c r="W46" s="24">
        <v>4.63</v>
      </c>
      <c r="X46" s="24">
        <v>0.77590000000000003</v>
      </c>
      <c r="Y46" s="24">
        <v>16.758099352051836</v>
      </c>
      <c r="Z46" s="24">
        <v>2.7189000000000001</v>
      </c>
      <c r="AA46" s="24">
        <v>0.379</v>
      </c>
      <c r="AB46" s="24">
        <v>13.939460811357534</v>
      </c>
      <c r="AC46" s="24">
        <v>10.82</v>
      </c>
      <c r="AD46" s="24">
        <v>1.91</v>
      </c>
      <c r="AE46" s="24">
        <v>17.65249537892791</v>
      </c>
      <c r="AF46" s="24">
        <v>9.7784999999999993</v>
      </c>
      <c r="AG46" s="24">
        <v>2.3451</v>
      </c>
      <c r="AH46" s="24">
        <v>23.982205859794448</v>
      </c>
      <c r="AI46" s="24">
        <v>9.1288</v>
      </c>
      <c r="AJ46" s="24">
        <v>2.1642999999999999</v>
      </c>
      <c r="AK46" s="24">
        <v>23.708483042678115</v>
      </c>
      <c r="AL46" s="24">
        <v>41.4</v>
      </c>
      <c r="AM46" s="24">
        <v>10.4521</v>
      </c>
      <c r="AN46" s="24">
        <v>25.246618357487922</v>
      </c>
      <c r="AO46" s="24">
        <v>41.4</v>
      </c>
      <c r="AP46" s="24">
        <v>10.4521</v>
      </c>
      <c r="AQ46" s="24">
        <v>25.246618357487922</v>
      </c>
      <c r="AR46" s="24">
        <v>32.06</v>
      </c>
      <c r="AS46" s="24">
        <v>5.5980999999999996</v>
      </c>
      <c r="AT46" s="24">
        <v>17.461322520274482</v>
      </c>
      <c r="AU46" s="24">
        <v>30.029199999999999</v>
      </c>
      <c r="AV46" s="24">
        <v>5.3920000000000003</v>
      </c>
      <c r="AW46" s="24">
        <v>17.955856299868131</v>
      </c>
      <c r="AX46" s="24">
        <v>37.1006</v>
      </c>
      <c r="AY46" s="24">
        <v>6.5160999999999998</v>
      </c>
      <c r="AZ46" s="24">
        <v>17.563327816800804</v>
      </c>
      <c r="BA46" s="24">
        <v>26.048300000000001</v>
      </c>
      <c r="BB46" s="24">
        <v>4.3273999999999999</v>
      </c>
      <c r="BC46" s="24">
        <v>16.612984340628753</v>
      </c>
      <c r="BD46" s="24">
        <v>25.458500000000001</v>
      </c>
      <c r="BE46" s="24">
        <v>4.2069000000000001</v>
      </c>
      <c r="BF46" s="24">
        <v>16.524539937545416</v>
      </c>
      <c r="BG46" s="24">
        <v>34.255200000000002</v>
      </c>
      <c r="BH46" s="24">
        <v>6.22</v>
      </c>
      <c r="BI46" s="24">
        <v>18.157827132814869</v>
      </c>
      <c r="BJ46" s="24">
        <v>25.099499999999999</v>
      </c>
      <c r="BK46" s="24">
        <v>4.1395</v>
      </c>
      <c r="BL46" s="24">
        <v>16.492360405585767</v>
      </c>
      <c r="BM46" s="24">
        <v>22.700199999999999</v>
      </c>
      <c r="BN46" s="24">
        <v>3.5491999999999999</v>
      </c>
      <c r="BO46" s="24">
        <v>15.635104536523908</v>
      </c>
      <c r="BP46" s="24">
        <v>5.2203999999999997</v>
      </c>
      <c r="BQ46" s="24">
        <v>3.4004000000000003</v>
      </c>
      <c r="BR46" s="55">
        <v>3.3639999999999999</v>
      </c>
      <c r="BS46" s="55">
        <v>4.0604000000000005</v>
      </c>
      <c r="BT46" s="55">
        <v>11.2204</v>
      </c>
      <c r="BU46" s="24">
        <v>7.2801999999999998</v>
      </c>
      <c r="BV46" s="55">
        <v>94.360599999999991</v>
      </c>
      <c r="BW46" s="86">
        <v>51.25</v>
      </c>
      <c r="BX46" s="44">
        <v>50.046100000000003</v>
      </c>
      <c r="BY46" s="106">
        <v>102.3605</v>
      </c>
      <c r="BZ46" s="44">
        <v>67.7089</v>
      </c>
      <c r="CA46" s="44">
        <v>67.651399999999995</v>
      </c>
      <c r="CB46" s="44">
        <v>181.34040000000002</v>
      </c>
      <c r="CC46" s="24">
        <v>102.76039999999999</v>
      </c>
      <c r="CD46" s="24">
        <v>82.771299999999997</v>
      </c>
      <c r="CE46" s="77">
        <v>154.5504</v>
      </c>
      <c r="CF46" s="24">
        <v>102.33029999999999</v>
      </c>
      <c r="CG46" s="24">
        <v>98.897000000000006</v>
      </c>
      <c r="CH46" s="24">
        <v>117.90039999999999</v>
      </c>
      <c r="CI46" s="44">
        <v>105</v>
      </c>
      <c r="CJ46" s="44">
        <v>83.025300000000001</v>
      </c>
      <c r="CK46" s="44">
        <v>138.15050000000002</v>
      </c>
      <c r="CL46" s="44">
        <v>154.20050000000001</v>
      </c>
      <c r="CM46" s="44">
        <v>121.76</v>
      </c>
      <c r="CN46" s="44">
        <v>96.486500000000007</v>
      </c>
      <c r="CO46" s="44">
        <f>161.7202+0.0003</f>
        <v>161.72050000000002</v>
      </c>
      <c r="CP46" s="171">
        <v>122.42</v>
      </c>
      <c r="CQ46" s="171">
        <f>144.8002+0.0003</f>
        <v>144.8005</v>
      </c>
    </row>
    <row r="47" spans="1:95" ht="15.75" x14ac:dyDescent="0.25">
      <c r="A47" s="44" t="s">
        <v>203</v>
      </c>
      <c r="B47" s="24">
        <v>3.6341999999999999</v>
      </c>
      <c r="C47" s="24">
        <v>0</v>
      </c>
      <c r="D47" s="24">
        <v>0</v>
      </c>
      <c r="E47" s="24">
        <v>4.6806999999999999</v>
      </c>
      <c r="F47" s="24">
        <v>0</v>
      </c>
      <c r="G47" s="24">
        <v>0</v>
      </c>
      <c r="H47" s="24">
        <v>5.6029999999999998</v>
      </c>
      <c r="I47" s="24">
        <v>0</v>
      </c>
      <c r="J47" s="24">
        <v>0</v>
      </c>
      <c r="K47" s="24">
        <v>6.7694000000000001</v>
      </c>
      <c r="L47" s="24">
        <v>0</v>
      </c>
      <c r="M47" s="24">
        <v>0</v>
      </c>
      <c r="N47" s="24">
        <v>8.3058999999999994</v>
      </c>
      <c r="O47" s="24">
        <v>0.246</v>
      </c>
      <c r="P47" s="24">
        <v>2.9617500812675326</v>
      </c>
      <c r="Q47" s="24">
        <v>7.7037000000000004</v>
      </c>
      <c r="R47" s="24">
        <v>0.1734</v>
      </c>
      <c r="S47" s="24">
        <v>2.2508664667627243</v>
      </c>
      <c r="T47" s="24">
        <v>3.9123000000000001</v>
      </c>
      <c r="U47" s="24">
        <v>0</v>
      </c>
      <c r="V47" s="24">
        <v>0</v>
      </c>
      <c r="W47" s="24">
        <v>2.0857000000000001</v>
      </c>
      <c r="X47" s="24">
        <v>0</v>
      </c>
      <c r="Y47" s="24">
        <v>0</v>
      </c>
      <c r="Z47" s="24">
        <v>1.5319</v>
      </c>
      <c r="AA47" s="24">
        <v>0</v>
      </c>
      <c r="AB47" s="24">
        <v>0</v>
      </c>
      <c r="AC47" s="24">
        <v>9.0536999999999992</v>
      </c>
      <c r="AD47" s="24">
        <v>1.1000000000000001E-3</v>
      </c>
      <c r="AE47" s="24">
        <v>1.2149728840142706E-2</v>
      </c>
      <c r="AF47" s="24">
        <v>3.3496999999999999</v>
      </c>
      <c r="AG47" s="24">
        <v>0.1002</v>
      </c>
      <c r="AH47" s="24">
        <v>2.9913126548646147</v>
      </c>
      <c r="AI47" s="24">
        <v>2.7865000000000002</v>
      </c>
      <c r="AJ47" s="24">
        <v>3.7900000000000003E-2</v>
      </c>
      <c r="AK47" s="24">
        <v>1.3601291943298044</v>
      </c>
      <c r="AL47" s="24">
        <v>13.712199999999999</v>
      </c>
      <c r="AM47" s="24">
        <v>0.5202</v>
      </c>
      <c r="AN47" s="24">
        <v>3.7937019588395735</v>
      </c>
      <c r="AO47" s="24">
        <v>13.711600000000001</v>
      </c>
      <c r="AP47" s="24">
        <v>0.52</v>
      </c>
      <c r="AQ47" s="24">
        <v>3.7924093468304205</v>
      </c>
      <c r="AR47" s="24">
        <v>6.5068000000000001</v>
      </c>
      <c r="AS47" s="24">
        <v>9.2999999999999999E-2</v>
      </c>
      <c r="AT47" s="24">
        <v>1.4292739902870844</v>
      </c>
      <c r="AU47" s="24">
        <v>5.5244999999999997</v>
      </c>
      <c r="AV47" s="24">
        <v>7.7710000000000001E-2</v>
      </c>
      <c r="AW47" s="24">
        <v>1.4066431351253508</v>
      </c>
      <c r="AX47" s="24">
        <v>13.4658</v>
      </c>
      <c r="AY47" s="24">
        <v>0.3337</v>
      </c>
      <c r="AZ47" s="24">
        <v>2.4781297806294464</v>
      </c>
      <c r="BA47" s="24">
        <v>8.8531999999999993</v>
      </c>
      <c r="BB47" s="24">
        <v>0.16900000000000001</v>
      </c>
      <c r="BC47" s="24">
        <v>1.9089142908778749</v>
      </c>
      <c r="BD47" s="24">
        <v>7.4744999999999999</v>
      </c>
      <c r="BE47" s="24">
        <v>0.1212</v>
      </c>
      <c r="BF47" s="24">
        <v>1.6215131446919526</v>
      </c>
      <c r="BG47" s="24">
        <v>22.4635</v>
      </c>
      <c r="BH47" s="24">
        <v>0.89829999999999999</v>
      </c>
      <c r="BI47" s="24">
        <v>3.9989316001513564</v>
      </c>
      <c r="BJ47" s="24">
        <v>17.357900000000001</v>
      </c>
      <c r="BK47" s="24">
        <v>0.34610000000000002</v>
      </c>
      <c r="BL47" s="24">
        <v>1.9939047926304447</v>
      </c>
      <c r="BM47" s="24">
        <v>33.97</v>
      </c>
      <c r="BN47" s="24">
        <v>0.18290000000000001</v>
      </c>
      <c r="BO47" s="24">
        <v>0.53841624963202828</v>
      </c>
      <c r="BP47" s="24">
        <v>0.5897</v>
      </c>
      <c r="BQ47" s="24">
        <v>1.4221999999999999</v>
      </c>
      <c r="BR47" s="55">
        <v>1.3646</v>
      </c>
      <c r="BS47" s="55">
        <v>1.4440999999999999</v>
      </c>
      <c r="BT47" s="55">
        <v>0.92410000000000003</v>
      </c>
      <c r="BU47" s="44">
        <v>0.89670000000000005</v>
      </c>
      <c r="BV47" s="55">
        <v>1.0991</v>
      </c>
      <c r="BW47" s="86">
        <v>1.1519999999999999</v>
      </c>
      <c r="BX47" s="44">
        <v>1.1419999999999999</v>
      </c>
      <c r="BY47" s="106">
        <v>1.3306</v>
      </c>
      <c r="BZ47" s="44">
        <v>2.516</v>
      </c>
      <c r="CA47" s="44">
        <v>1.7669999999999999</v>
      </c>
      <c r="CB47" s="44">
        <v>3.5779999999999998</v>
      </c>
      <c r="CC47" s="24">
        <v>3.556</v>
      </c>
      <c r="CD47" s="24">
        <v>3.4607000000000001</v>
      </c>
      <c r="CE47" s="77">
        <v>3.7911999999999999</v>
      </c>
      <c r="CF47" s="24">
        <v>4.21</v>
      </c>
      <c r="CG47" s="24">
        <v>4.1883999999999997</v>
      </c>
      <c r="CH47" s="24">
        <v>6.0571999999999999</v>
      </c>
      <c r="CI47" s="44">
        <v>8.1275999999999993</v>
      </c>
      <c r="CJ47" s="44">
        <v>6.6460999999999997</v>
      </c>
      <c r="CK47" s="44">
        <v>9.9882000000000009</v>
      </c>
      <c r="CL47" s="44">
        <v>9.9882000000000009</v>
      </c>
      <c r="CM47" s="44">
        <v>8.6027000000000005</v>
      </c>
      <c r="CN47" s="44">
        <v>7.7794999999999996</v>
      </c>
      <c r="CO47" s="44">
        <v>9.5327999999999999</v>
      </c>
      <c r="CP47" s="171">
        <v>8.6036000000000001</v>
      </c>
      <c r="CQ47" s="171">
        <v>11.133699999999999</v>
      </c>
    </row>
    <row r="48" spans="1:95" ht="15.75" x14ac:dyDescent="0.25">
      <c r="A48" s="21" t="s">
        <v>91</v>
      </c>
      <c r="B48" s="20">
        <v>9.0338999999999992</v>
      </c>
      <c r="C48" s="20">
        <v>4.0500000000000001E-2</v>
      </c>
      <c r="D48" s="20">
        <v>0.44831136054195864</v>
      </c>
      <c r="E48" s="20">
        <v>19.881499999999999</v>
      </c>
      <c r="F48" s="20">
        <v>4.3499999999999997E-2</v>
      </c>
      <c r="G48" s="20">
        <v>0.21879636848326331</v>
      </c>
      <c r="H48" s="20">
        <v>21.479700000000001</v>
      </c>
      <c r="I48" s="20">
        <v>4.6199999999999998E-2</v>
      </c>
      <c r="J48" s="20">
        <v>0.2150868028883085</v>
      </c>
      <c r="K48" s="20">
        <v>15.8856</v>
      </c>
      <c r="L48" s="20">
        <v>4.7E-2</v>
      </c>
      <c r="M48" s="20">
        <v>0.29586543788084807</v>
      </c>
      <c r="N48" s="20">
        <v>12.263399999999999</v>
      </c>
      <c r="O48" s="20">
        <v>0.45550000000000002</v>
      </c>
      <c r="P48" s="20">
        <v>3.7143043527896018</v>
      </c>
      <c r="Q48" s="20">
        <v>11.0791</v>
      </c>
      <c r="R48" s="20">
        <v>0.34420000000000001</v>
      </c>
      <c r="S48" s="20">
        <v>3.106750548329738</v>
      </c>
      <c r="T48" s="20">
        <v>65.841700000000003</v>
      </c>
      <c r="U48" s="20">
        <v>2.6497000000000002</v>
      </c>
      <c r="V48" s="20">
        <v>4.0243493105433181</v>
      </c>
      <c r="W48" s="20">
        <v>12.8323</v>
      </c>
      <c r="X48" s="20">
        <v>1.6116999999999999</v>
      </c>
      <c r="Y48" s="20">
        <v>12.559712600235343</v>
      </c>
      <c r="Z48" s="20">
        <v>9.5099</v>
      </c>
      <c r="AA48" s="20">
        <v>1.2034</v>
      </c>
      <c r="AB48" s="20">
        <v>12.65418143198141</v>
      </c>
      <c r="AC48" s="20">
        <v>39.042400000000001</v>
      </c>
      <c r="AD48" s="20">
        <v>4.992</v>
      </c>
      <c r="AE48" s="20">
        <v>12.786099215212179</v>
      </c>
      <c r="AF48" s="20">
        <v>23.2591</v>
      </c>
      <c r="AG48" s="20">
        <v>3.6888000000000001</v>
      </c>
      <c r="AH48" s="20">
        <v>15.859599038655839</v>
      </c>
      <c r="AI48" s="20">
        <v>21.0913</v>
      </c>
      <c r="AJ48" s="20">
        <v>3.4215</v>
      </c>
      <c r="AK48" s="20">
        <v>16.222328637874384</v>
      </c>
      <c r="AL48" s="20">
        <v>79.369399999999999</v>
      </c>
      <c r="AM48" s="20">
        <v>15.045999999999999</v>
      </c>
      <c r="AN48" s="20">
        <v>18.956927984840505</v>
      </c>
      <c r="AO48" s="20">
        <v>89.368799999999993</v>
      </c>
      <c r="AP48" s="20">
        <v>15.0458</v>
      </c>
      <c r="AQ48" s="20">
        <v>16.835629436671411</v>
      </c>
      <c r="AR48" s="20">
        <v>85.113100000000003</v>
      </c>
      <c r="AS48" s="20">
        <v>14.2514</v>
      </c>
      <c r="AT48" s="20">
        <v>16.744073474001063</v>
      </c>
      <c r="AU48" s="20">
        <v>75.037700000000001</v>
      </c>
      <c r="AV48" s="20">
        <v>11.920909999999999</v>
      </c>
      <c r="AW48" s="20">
        <v>15.886561021992943</v>
      </c>
      <c r="AX48" s="20">
        <v>128.65109999999999</v>
      </c>
      <c r="AY48" s="20">
        <v>20.899799999999999</v>
      </c>
      <c r="AZ48" s="20">
        <v>16.245333308459859</v>
      </c>
      <c r="BA48" s="20">
        <v>78.856400000000008</v>
      </c>
      <c r="BB48" s="20">
        <v>12.4657</v>
      </c>
      <c r="BC48" s="20">
        <v>15.808101815451883</v>
      </c>
      <c r="BD48" s="20">
        <v>67.397199999999998</v>
      </c>
      <c r="BE48" s="20">
        <v>9.2093000000000007</v>
      </c>
      <c r="BF48" s="20">
        <v>13.66421750458476</v>
      </c>
      <c r="BG48" s="20">
        <v>56.871700000000004</v>
      </c>
      <c r="BH48" s="20">
        <v>7.1183999999999994</v>
      </c>
      <c r="BI48" s="20">
        <v>12.516594369431544</v>
      </c>
      <c r="BJ48" s="20">
        <v>42.608600000000003</v>
      </c>
      <c r="BK48" s="20">
        <v>4.4859999999999998</v>
      </c>
      <c r="BL48" s="20">
        <v>10.528390982102204</v>
      </c>
      <c r="BM48" s="20">
        <v>43.608600000000003</v>
      </c>
      <c r="BN48" s="20">
        <v>3.7321</v>
      </c>
      <c r="BO48" s="20">
        <v>8.558174305068265</v>
      </c>
      <c r="BP48" s="20">
        <v>6.3556999999999997</v>
      </c>
      <c r="BQ48" s="20">
        <v>4.8288000000000002</v>
      </c>
      <c r="BR48" s="59">
        <v>4.7343000000000002</v>
      </c>
      <c r="BS48" s="59">
        <v>5.6048</v>
      </c>
      <c r="BT48" s="59">
        <v>12.164499999999999</v>
      </c>
      <c r="BU48" s="59">
        <v>8.1968999999999994</v>
      </c>
      <c r="BV48" s="59">
        <v>95.480699999999985</v>
      </c>
      <c r="BW48" s="88">
        <v>52.422800000000002</v>
      </c>
      <c r="BX48" s="110">
        <v>51.207300000000004</v>
      </c>
      <c r="BY48" s="110">
        <v>103.71210000000001</v>
      </c>
      <c r="BZ48" s="110">
        <v>70.253100000000003</v>
      </c>
      <c r="CA48" s="21">
        <v>69.440299999999993</v>
      </c>
      <c r="CB48" s="21">
        <v>184.93980000000002</v>
      </c>
      <c r="CC48" s="20">
        <v>106.34039999999999</v>
      </c>
      <c r="CD48" s="20">
        <v>86.255099999999999</v>
      </c>
      <c r="CE48" s="89">
        <v>158.363</v>
      </c>
      <c r="CF48" s="20">
        <v>106.56469999999999</v>
      </c>
      <c r="CG48" s="20">
        <v>103.10760000000001</v>
      </c>
      <c r="CH48" s="20">
        <v>132.97899999999998</v>
      </c>
      <c r="CI48" s="20">
        <v>113.1751</v>
      </c>
      <c r="CJ48" s="20">
        <f>SUM(CJ45:CJ47)</f>
        <v>89.698900000000009</v>
      </c>
      <c r="CK48" s="20">
        <v>148.21060000000003</v>
      </c>
      <c r="CL48" s="21">
        <v>164.26070000000001</v>
      </c>
      <c r="CM48" s="21">
        <f>SUM(CM45:CM47)</f>
        <v>130.3887</v>
      </c>
      <c r="CN48" s="21">
        <f>SUM(CN45:CN47)</f>
        <v>104.26600000000001</v>
      </c>
      <c r="CO48" s="21">
        <f>SUM(CO45:CO47)</f>
        <v>259.78100000000001</v>
      </c>
      <c r="CP48" s="21">
        <f>SUM(CP45:CP47)</f>
        <v>143.55670000000001</v>
      </c>
      <c r="CQ48" s="21">
        <f>SUM(CQ45:CQ47)</f>
        <v>169.36279999999999</v>
      </c>
    </row>
    <row r="49" spans="1:95" ht="15.75" x14ac:dyDescent="0.25">
      <c r="A49" s="16" t="s">
        <v>92</v>
      </c>
      <c r="B49" s="12">
        <v>132.49170000000001</v>
      </c>
      <c r="C49" s="12">
        <v>0</v>
      </c>
      <c r="D49" s="12">
        <v>0</v>
      </c>
      <c r="E49" s="12">
        <v>150.7877</v>
      </c>
      <c r="F49" s="12">
        <v>0</v>
      </c>
      <c r="G49" s="12">
        <v>0</v>
      </c>
      <c r="H49" s="12">
        <v>186.28819999999999</v>
      </c>
      <c r="I49" s="12">
        <v>0</v>
      </c>
      <c r="J49" s="12">
        <v>0</v>
      </c>
      <c r="K49" s="14">
        <v>204.38399999999999</v>
      </c>
      <c r="L49" s="12">
        <v>0</v>
      </c>
      <c r="M49" s="12">
        <v>0</v>
      </c>
      <c r="N49" s="12">
        <v>344.83269999999999</v>
      </c>
      <c r="O49" s="12">
        <v>1.5001</v>
      </c>
      <c r="P49" s="12">
        <v>0.43502254861560402</v>
      </c>
      <c r="Q49" s="12">
        <v>342.9051</v>
      </c>
      <c r="R49" s="12">
        <v>0.81710000000000005</v>
      </c>
      <c r="S49" s="12">
        <v>0.23828750286886954</v>
      </c>
      <c r="T49" s="12">
        <v>422.76130000000001</v>
      </c>
      <c r="U49" s="12">
        <v>5.0750999999999999</v>
      </c>
      <c r="V49" s="12">
        <v>1.2004646593716122</v>
      </c>
      <c r="W49" s="12">
        <v>490.17619999999999</v>
      </c>
      <c r="X49" s="12">
        <v>1.5853999999999999</v>
      </c>
      <c r="Y49" s="12">
        <v>0.32343471592460016</v>
      </c>
      <c r="Z49" s="12">
        <v>396.42309999999998</v>
      </c>
      <c r="AA49" s="12">
        <v>1.3413999999999999</v>
      </c>
      <c r="AB49" s="12">
        <v>0.33837584136746823</v>
      </c>
      <c r="AC49" s="12">
        <v>561.40110000000004</v>
      </c>
      <c r="AD49" s="12">
        <v>5.5004</v>
      </c>
      <c r="AE49" s="12">
        <v>0.97976295379542355</v>
      </c>
      <c r="AF49" s="12">
        <v>1216.6496999999999</v>
      </c>
      <c r="AG49" s="12">
        <v>1.4004000000000001</v>
      </c>
      <c r="AH49" s="12">
        <v>0.11510297499765135</v>
      </c>
      <c r="AI49" s="12">
        <v>1193.3890999999999</v>
      </c>
      <c r="AJ49" s="12">
        <v>1.3939999999999999</v>
      </c>
      <c r="AK49" s="12">
        <v>0.11681018370286775</v>
      </c>
      <c r="AL49" s="12">
        <v>648.44370000000004</v>
      </c>
      <c r="AM49" s="12">
        <v>7.2504</v>
      </c>
      <c r="AN49" s="12">
        <v>1.1181232850284457</v>
      </c>
      <c r="AO49" s="12">
        <v>642.05349999999999</v>
      </c>
      <c r="AP49" s="12">
        <v>7.2504</v>
      </c>
      <c r="AQ49" s="12">
        <v>1.1292516900850162</v>
      </c>
      <c r="AR49" s="12">
        <v>575.31240000000003</v>
      </c>
      <c r="AS49" s="12">
        <v>1.0702</v>
      </c>
      <c r="AT49" s="12">
        <v>0.18602067328985086</v>
      </c>
      <c r="AU49" s="12">
        <v>517.93089999999995</v>
      </c>
      <c r="AV49" s="12">
        <v>1.07</v>
      </c>
      <c r="AW49" s="12">
        <v>0.20659126535991579</v>
      </c>
      <c r="AX49" s="12">
        <v>666.63699999999994</v>
      </c>
      <c r="AY49" s="12">
        <v>6.3501000000000003</v>
      </c>
      <c r="AZ49" s="12">
        <v>0.95255738880380192</v>
      </c>
      <c r="BA49" s="12">
        <v>586.82219999999995</v>
      </c>
      <c r="BB49" s="12">
        <v>3.4502000000000002</v>
      </c>
      <c r="BC49" s="12">
        <v>0.58794640011915023</v>
      </c>
      <c r="BD49" s="12">
        <v>499.27980000000002</v>
      </c>
      <c r="BE49" s="12">
        <v>3.4466000000000001</v>
      </c>
      <c r="BF49" s="12">
        <v>0.69031432875914467</v>
      </c>
      <c r="BG49" s="12">
        <v>332.77679999999998</v>
      </c>
      <c r="BH49" s="12">
        <v>7.65</v>
      </c>
      <c r="BI49" s="12">
        <v>2.2988381401588094</v>
      </c>
      <c r="BJ49" s="12">
        <v>4330.3312999999998</v>
      </c>
      <c r="BK49" s="12">
        <v>1.4601</v>
      </c>
      <c r="BL49" s="12">
        <v>3.3717974419185899E-2</v>
      </c>
      <c r="BM49" s="12">
        <v>4229.0005000000001</v>
      </c>
      <c r="BN49" s="51">
        <v>1.4569000000000001</v>
      </c>
      <c r="BO49" s="51">
        <v>3.4450220566301662E-2</v>
      </c>
      <c r="BP49" s="51">
        <v>5.8</v>
      </c>
      <c r="BQ49" s="51">
        <v>1.6057999999999999</v>
      </c>
      <c r="BR49" s="60">
        <v>1.5872999999999999</v>
      </c>
      <c r="BS49" s="60">
        <v>3.6377999999999999</v>
      </c>
      <c r="BT49" s="57">
        <v>1.5682</v>
      </c>
      <c r="BU49" s="12">
        <v>1.0203</v>
      </c>
      <c r="BV49" s="57">
        <v>2.7103999999999999</v>
      </c>
      <c r="BW49" s="98">
        <v>0.99</v>
      </c>
      <c r="BX49" s="13">
        <v>0.96730000000000005</v>
      </c>
      <c r="BY49" s="109">
        <v>12.717599999999999</v>
      </c>
      <c r="BZ49" s="13">
        <v>7.1679000000000004</v>
      </c>
      <c r="CA49" s="13">
        <v>5.2504</v>
      </c>
      <c r="CB49" s="13">
        <v>17.6279</v>
      </c>
      <c r="CC49" s="12">
        <v>10.2721</v>
      </c>
      <c r="CD49" s="12">
        <v>7.5781999999999998</v>
      </c>
      <c r="CE49" s="81">
        <v>90.311900000000009</v>
      </c>
      <c r="CF49" s="12">
        <v>191.52519999999998</v>
      </c>
      <c r="CG49" s="12">
        <v>153.86150000000001</v>
      </c>
      <c r="CH49" s="12">
        <v>697.19299999999998</v>
      </c>
      <c r="CI49" s="13">
        <v>433.56469999999996</v>
      </c>
      <c r="CJ49" s="13">
        <f>83.3743+0.3549+325.8983</f>
        <v>409.6275</v>
      </c>
      <c r="CK49" s="13">
        <v>221.01800000000003</v>
      </c>
      <c r="CL49" s="13">
        <v>221.018</v>
      </c>
      <c r="CM49" s="13">
        <f>63.5945+1.0155+114.0604</f>
        <v>178.6704</v>
      </c>
      <c r="CN49" s="13">
        <f>54.4829+0.528+95.88</f>
        <v>150.89089999999999</v>
      </c>
      <c r="CO49" s="13">
        <f>106.7403+1.539+114.6805</f>
        <v>222.9598</v>
      </c>
      <c r="CP49" s="13">
        <f>33.5091+1.3393+114.82</f>
        <v>149.66839999999999</v>
      </c>
      <c r="CQ49" s="13">
        <f>108.07+1.5098+116.1005</f>
        <v>225.68029999999999</v>
      </c>
    </row>
    <row r="50" spans="1:95" ht="15.75" x14ac:dyDescent="0.25">
      <c r="A50" s="16" t="s">
        <v>93</v>
      </c>
      <c r="B50" s="12">
        <v>11.7075</v>
      </c>
      <c r="C50" s="12">
        <v>0</v>
      </c>
      <c r="D50" s="12">
        <v>0</v>
      </c>
      <c r="E50" s="12">
        <v>10.5946</v>
      </c>
      <c r="F50" s="12">
        <v>0</v>
      </c>
      <c r="G50" s="12">
        <v>0</v>
      </c>
      <c r="H50" s="12">
        <v>6.5693000000000001</v>
      </c>
      <c r="I50" s="12">
        <v>0</v>
      </c>
      <c r="J50" s="12">
        <v>0</v>
      </c>
      <c r="K50" s="12">
        <v>5.0057</v>
      </c>
      <c r="L50" s="12">
        <v>0</v>
      </c>
      <c r="M50" s="12">
        <v>0</v>
      </c>
      <c r="N50" s="12">
        <v>18.788499999999999</v>
      </c>
      <c r="O50" s="12">
        <v>0</v>
      </c>
      <c r="P50" s="12">
        <v>0</v>
      </c>
      <c r="Q50" s="12">
        <v>7.9104000000000001</v>
      </c>
      <c r="R50" s="12">
        <v>0</v>
      </c>
      <c r="S50" s="12">
        <v>0</v>
      </c>
      <c r="T50" s="12">
        <v>56.760599999999997</v>
      </c>
      <c r="U50" s="12">
        <v>0</v>
      </c>
      <c r="V50" s="12">
        <v>0</v>
      </c>
      <c r="W50" s="12">
        <v>113.80970000000001</v>
      </c>
      <c r="X50" s="12">
        <v>9.84</v>
      </c>
      <c r="Y50" s="12">
        <v>8.6460117195634449</v>
      </c>
      <c r="Z50" s="12">
        <v>36.770299999999999</v>
      </c>
      <c r="AA50" s="12">
        <v>1.2042999999999999</v>
      </c>
      <c r="AB50" s="12">
        <v>3.2751976459261956</v>
      </c>
      <c r="AC50" s="12">
        <v>51.606699999999996</v>
      </c>
      <c r="AD50" s="12">
        <v>1E-4</v>
      </c>
      <c r="AE50" s="12">
        <v>1.9377328912718701E-4</v>
      </c>
      <c r="AF50" s="12">
        <v>28.734200000000001</v>
      </c>
      <c r="AG50" s="12">
        <v>1E-4</v>
      </c>
      <c r="AH50" s="12">
        <v>3.4801734518448402E-4</v>
      </c>
      <c r="AI50" s="12">
        <v>23.350099999999998</v>
      </c>
      <c r="AJ50" s="12">
        <v>0</v>
      </c>
      <c r="AK50" s="12">
        <v>0</v>
      </c>
      <c r="AL50" s="12">
        <v>45.118499999999997</v>
      </c>
      <c r="AM50" s="12">
        <v>3.6</v>
      </c>
      <c r="AN50" s="12">
        <v>7.978988663186942</v>
      </c>
      <c r="AO50" s="12">
        <v>50.542900000000003</v>
      </c>
      <c r="AP50" s="12">
        <v>3.6</v>
      </c>
      <c r="AQ50" s="12">
        <v>7.1226621345431296</v>
      </c>
      <c r="AR50" s="12">
        <v>46.135599999999997</v>
      </c>
      <c r="AS50" s="12">
        <v>3.14</v>
      </c>
      <c r="AT50" s="12">
        <v>6.8060239814806796</v>
      </c>
      <c r="AU50" s="12">
        <v>33.837899999999998</v>
      </c>
      <c r="AV50" s="12">
        <v>3.14</v>
      </c>
      <c r="AW50" s="12">
        <v>9.279535668584634</v>
      </c>
      <c r="AX50" s="12">
        <v>73.962999999999994</v>
      </c>
      <c r="AY50" s="12">
        <v>2.14</v>
      </c>
      <c r="AZ50" s="12">
        <v>2.8933385611724782</v>
      </c>
      <c r="BA50" s="12">
        <v>17.6113</v>
      </c>
      <c r="BB50" s="12">
        <v>1E-4</v>
      </c>
      <c r="BC50" s="12">
        <v>5.6781725369507078E-4</v>
      </c>
      <c r="BD50" s="12">
        <v>11.1617</v>
      </c>
      <c r="BE50" s="12">
        <v>0</v>
      </c>
      <c r="BF50" s="12">
        <v>0</v>
      </c>
      <c r="BG50" s="12">
        <v>64.113600000000005</v>
      </c>
      <c r="BH50" s="12">
        <v>1E-4</v>
      </c>
      <c r="BI50" s="12">
        <v>1.5597314766289835E-4</v>
      </c>
      <c r="BJ50" s="12">
        <v>26.113600000000002</v>
      </c>
      <c r="BK50" s="12">
        <v>2.0000000000000001E-4</v>
      </c>
      <c r="BL50" s="12">
        <v>7.6588444335518643E-4</v>
      </c>
      <c r="BM50" s="12">
        <v>8.9925999999999995</v>
      </c>
      <c r="BN50" s="51">
        <v>0</v>
      </c>
      <c r="BO50" s="51">
        <v>0</v>
      </c>
      <c r="BP50" s="51">
        <v>0.33510000000000001</v>
      </c>
      <c r="BQ50" s="51">
        <v>0.33500000000000002</v>
      </c>
      <c r="BR50" s="60">
        <v>0</v>
      </c>
      <c r="BS50" s="60">
        <v>0</v>
      </c>
      <c r="BT50" s="58">
        <v>0</v>
      </c>
      <c r="BU50" s="13">
        <v>0</v>
      </c>
      <c r="BV50" s="58">
        <v>0</v>
      </c>
      <c r="BW50" s="98">
        <v>0</v>
      </c>
      <c r="BX50" s="109">
        <v>1E-4</v>
      </c>
      <c r="BY50" s="109">
        <v>1E-4</v>
      </c>
      <c r="BZ50" s="109">
        <v>1E-4</v>
      </c>
      <c r="CA50" s="13">
        <v>0</v>
      </c>
      <c r="CB50" s="13">
        <v>2.0000000000000001E-4</v>
      </c>
      <c r="CC50" s="12">
        <v>0</v>
      </c>
      <c r="CD50" s="12">
        <v>0</v>
      </c>
      <c r="CE50" s="81">
        <v>2.0000000000000001E-4</v>
      </c>
      <c r="CF50" s="12">
        <v>2.0000000000000001E-4</v>
      </c>
      <c r="CG50" s="12">
        <v>0</v>
      </c>
      <c r="CH50" s="12">
        <v>2.0000000000000001E-4</v>
      </c>
      <c r="CI50" s="13">
        <v>0.56000000000000005</v>
      </c>
      <c r="CJ50" s="13">
        <v>0</v>
      </c>
      <c r="CK50" s="13">
        <v>0.62019999999999997</v>
      </c>
      <c r="CL50" s="13">
        <v>3.6204999999999998</v>
      </c>
      <c r="CM50" s="13">
        <v>0.27329999999999999</v>
      </c>
      <c r="CN50" s="13">
        <v>0.2732</v>
      </c>
      <c r="CO50" s="13">
        <f>0.0002+1.8002</f>
        <v>1.8004</v>
      </c>
      <c r="CP50" s="13">
        <v>0.39</v>
      </c>
      <c r="CQ50" s="13">
        <f>0.0002+1.8002</f>
        <v>1.8004</v>
      </c>
    </row>
    <row r="51" spans="1:95" ht="15.75" x14ac:dyDescent="0.25">
      <c r="A51" s="19" t="s">
        <v>94</v>
      </c>
      <c r="B51" s="20">
        <v>144.19919999999999</v>
      </c>
      <c r="C51" s="20">
        <v>0</v>
      </c>
      <c r="D51" s="20">
        <v>0</v>
      </c>
      <c r="E51" s="20">
        <v>161.38229999999999</v>
      </c>
      <c r="F51" s="20">
        <v>0</v>
      </c>
      <c r="G51" s="20">
        <v>0</v>
      </c>
      <c r="H51" s="20">
        <v>192.85749999999999</v>
      </c>
      <c r="I51" s="20">
        <v>0</v>
      </c>
      <c r="J51" s="20">
        <v>0</v>
      </c>
      <c r="K51" s="20">
        <v>209.38969999999998</v>
      </c>
      <c r="L51" s="20">
        <v>0</v>
      </c>
      <c r="M51" s="20">
        <v>0</v>
      </c>
      <c r="N51" s="20">
        <v>363.62119999999999</v>
      </c>
      <c r="O51" s="20">
        <v>1.5001</v>
      </c>
      <c r="P51" s="20">
        <v>0.41254470311411989</v>
      </c>
      <c r="Q51" s="20">
        <v>350.81549999999999</v>
      </c>
      <c r="R51" s="20">
        <v>0.81710000000000005</v>
      </c>
      <c r="S51" s="20">
        <v>0.23291445218355517</v>
      </c>
      <c r="T51" s="20">
        <v>479.52190000000002</v>
      </c>
      <c r="U51" s="20">
        <v>5.0750999999999999</v>
      </c>
      <c r="V51" s="20">
        <v>1.0583666773092115</v>
      </c>
      <c r="W51" s="20">
        <v>603.98590000000002</v>
      </c>
      <c r="X51" s="20">
        <v>11.4254</v>
      </c>
      <c r="Y51" s="20">
        <v>1.8916666763247287</v>
      </c>
      <c r="Z51" s="20">
        <v>433.1934</v>
      </c>
      <c r="AA51" s="20">
        <v>2.5457000000000001</v>
      </c>
      <c r="AB51" s="20">
        <v>0.58765899942150557</v>
      </c>
      <c r="AC51" s="20">
        <v>613.00779999999997</v>
      </c>
      <c r="AD51" s="20">
        <v>5.5004999999999997</v>
      </c>
      <c r="AE51" s="20">
        <v>0.89729690225801362</v>
      </c>
      <c r="AF51" s="20">
        <v>1245.3839</v>
      </c>
      <c r="AG51" s="20">
        <v>1.4005000000000001</v>
      </c>
      <c r="AH51" s="20">
        <v>0.11245528386869302</v>
      </c>
      <c r="AI51" s="20">
        <v>1216.7392</v>
      </c>
      <c r="AJ51" s="20">
        <v>1.3939999999999999</v>
      </c>
      <c r="AK51" s="20">
        <v>0.11456851229910238</v>
      </c>
      <c r="AL51" s="20">
        <v>693.56219999999996</v>
      </c>
      <c r="AM51" s="20">
        <v>10.8504</v>
      </c>
      <c r="AN51" s="20">
        <v>1.5644451211441455</v>
      </c>
      <c r="AO51" s="20">
        <v>692.59640000000002</v>
      </c>
      <c r="AP51" s="20">
        <v>10.8504</v>
      </c>
      <c r="AQ51" s="20">
        <v>1.5666266818597383</v>
      </c>
      <c r="AR51" s="20">
        <v>621.44799999999998</v>
      </c>
      <c r="AS51" s="20">
        <v>4.2102000000000004</v>
      </c>
      <c r="AT51" s="20">
        <v>0.67748226722107086</v>
      </c>
      <c r="AU51" s="20">
        <v>551.76879999999994</v>
      </c>
      <c r="AV51" s="20">
        <v>4.21</v>
      </c>
      <c r="AW51" s="20">
        <v>0.76300073509049449</v>
      </c>
      <c r="AX51" s="20">
        <v>740.59999999999991</v>
      </c>
      <c r="AY51" s="20">
        <v>8.4901</v>
      </c>
      <c r="AZ51" s="20">
        <v>1.1463813124493654</v>
      </c>
      <c r="BA51" s="20">
        <v>604.43349999999998</v>
      </c>
      <c r="BB51" s="20">
        <v>3.4503000000000004</v>
      </c>
      <c r="BC51" s="20">
        <v>0.57083202701372449</v>
      </c>
      <c r="BD51" s="20">
        <v>510.44150000000002</v>
      </c>
      <c r="BE51" s="20">
        <v>3.4466000000000001</v>
      </c>
      <c r="BF51" s="20">
        <v>0.67521939340747184</v>
      </c>
      <c r="BG51" s="20">
        <v>396.8904</v>
      </c>
      <c r="BH51" s="20">
        <v>7.6501000000000001</v>
      </c>
      <c r="BI51" s="20">
        <v>1.9275094585306172</v>
      </c>
      <c r="BJ51" s="20">
        <v>4356.4448999999995</v>
      </c>
      <c r="BK51" s="20">
        <v>1.4602999999999999</v>
      </c>
      <c r="BL51" s="20">
        <v>3.352045150393157E-2</v>
      </c>
      <c r="BM51" s="20">
        <v>4237.9930999999997</v>
      </c>
      <c r="BN51" s="20">
        <v>1.4569000000000001</v>
      </c>
      <c r="BO51" s="20">
        <v>3.4377120623438492E-2</v>
      </c>
      <c r="BP51" s="20">
        <v>6.1350999999999996</v>
      </c>
      <c r="BQ51" s="20">
        <v>1.9407999999999999</v>
      </c>
      <c r="BR51" s="59">
        <v>1.5872999999999999</v>
      </c>
      <c r="BS51" s="59">
        <v>3.6377999999999999</v>
      </c>
      <c r="BT51" s="59">
        <v>1.5682</v>
      </c>
      <c r="BU51" s="59">
        <v>1.0203</v>
      </c>
      <c r="BV51" s="59">
        <v>2.7103999999999999</v>
      </c>
      <c r="BW51" s="88">
        <v>0.99</v>
      </c>
      <c r="BX51" s="88">
        <v>0.96740000000000004</v>
      </c>
      <c r="BY51" s="88">
        <v>12.717699999999999</v>
      </c>
      <c r="BZ51" s="88">
        <v>7.1680000000000001</v>
      </c>
      <c r="CA51" s="88">
        <v>5.2504</v>
      </c>
      <c r="CB51" s="88">
        <v>17.6281</v>
      </c>
      <c r="CC51" s="88">
        <v>10.2721</v>
      </c>
      <c r="CD51" s="88">
        <v>7.5781999999999998</v>
      </c>
      <c r="CE51" s="88">
        <v>90.312100000000015</v>
      </c>
      <c r="CF51" s="59">
        <v>191.52539999999999</v>
      </c>
      <c r="CG51" s="59">
        <v>153.86150000000001</v>
      </c>
      <c r="CH51" s="59">
        <v>697.19319999999993</v>
      </c>
      <c r="CI51" s="59">
        <v>434.12469999999996</v>
      </c>
      <c r="CJ51" s="59">
        <f>SUM(CJ49:CJ50)</f>
        <v>409.6275</v>
      </c>
      <c r="CK51" s="59">
        <v>221.63820000000004</v>
      </c>
      <c r="CL51" s="59">
        <v>224.63850000000002</v>
      </c>
      <c r="CM51" s="21">
        <f>SUM(CM49:CM50)</f>
        <v>178.94370000000001</v>
      </c>
      <c r="CN51" s="21">
        <f>SUM(CN49:CN50)</f>
        <v>151.16409999999999</v>
      </c>
      <c r="CO51" s="21">
        <f>SUM(CO49:CO50)</f>
        <v>224.7602</v>
      </c>
      <c r="CP51" s="21">
        <f>SUM(CP49:CP50)</f>
        <v>150.05839999999998</v>
      </c>
      <c r="CQ51" s="21">
        <f>SUM(CQ49:CQ50)</f>
        <v>227.48069999999998</v>
      </c>
    </row>
    <row r="52" spans="1:95" ht="15.75" x14ac:dyDescent="0.25">
      <c r="A52" s="11" t="s">
        <v>95</v>
      </c>
      <c r="B52" s="12">
        <v>361.73520000000002</v>
      </c>
      <c r="C52" s="12">
        <v>54.6569</v>
      </c>
      <c r="D52" s="12">
        <v>15.109643739398321</v>
      </c>
      <c r="E52" s="12">
        <v>472.30059999999997</v>
      </c>
      <c r="F52" s="12">
        <v>64.998199999999997</v>
      </c>
      <c r="G52" s="12">
        <v>13.762040530966932</v>
      </c>
      <c r="H52" s="12">
        <v>569.99210000000005</v>
      </c>
      <c r="I52" s="12">
        <v>66.119699999999995</v>
      </c>
      <c r="J52" s="12">
        <v>11.600108141849683</v>
      </c>
      <c r="K52" s="12">
        <v>769.94849999999997</v>
      </c>
      <c r="L52" s="12">
        <v>99.509200000000007</v>
      </c>
      <c r="M52" s="12">
        <v>12.924137133847266</v>
      </c>
      <c r="N52" s="12">
        <v>1177.2570000000001</v>
      </c>
      <c r="O52" s="12">
        <v>173.3895</v>
      </c>
      <c r="P52" s="12">
        <v>14.728262393003396</v>
      </c>
      <c r="Q52" s="12">
        <v>1074.1803</v>
      </c>
      <c r="R52" s="12">
        <v>164.8708</v>
      </c>
      <c r="S52" s="12">
        <v>15.348522031171116</v>
      </c>
      <c r="T52" s="12">
        <v>1323.2007000000001</v>
      </c>
      <c r="U52" s="12">
        <v>190.86070000000001</v>
      </c>
      <c r="V52" s="12">
        <v>14.424168608737888</v>
      </c>
      <c r="W52" s="12">
        <v>1264.962</v>
      </c>
      <c r="X52" s="12">
        <v>190.86089999999999</v>
      </c>
      <c r="Y52" s="12">
        <v>15.088271426335337</v>
      </c>
      <c r="Z52" s="12">
        <v>1169.7842000000001</v>
      </c>
      <c r="AA52" s="12">
        <v>189.93270000000001</v>
      </c>
      <c r="AB52" s="12">
        <v>16.236558845640076</v>
      </c>
      <c r="AC52" s="12">
        <v>1512.8779</v>
      </c>
      <c r="AD52" s="12">
        <v>183.13380000000001</v>
      </c>
      <c r="AE52" s="12">
        <v>12.104995386607207</v>
      </c>
      <c r="AF52" s="12">
        <v>1271.9503</v>
      </c>
      <c r="AG52" s="12">
        <v>122</v>
      </c>
      <c r="AH52" s="12">
        <v>9.5915697335029524</v>
      </c>
      <c r="AI52" s="12">
        <v>1218.4281000000001</v>
      </c>
      <c r="AJ52" s="12">
        <v>121.8566</v>
      </c>
      <c r="AK52" s="12">
        <v>10.001131786110316</v>
      </c>
      <c r="AL52" s="12">
        <v>1482.6980000000001</v>
      </c>
      <c r="AM52" s="12">
        <v>218.83150000000001</v>
      </c>
      <c r="AN52" s="12">
        <v>14.759006891491053</v>
      </c>
      <c r="AO52" s="12">
        <v>1584.5706</v>
      </c>
      <c r="AP52" s="12">
        <v>218.83150000000001</v>
      </c>
      <c r="AQ52" s="12">
        <v>13.81014515856851</v>
      </c>
      <c r="AR52" s="12">
        <v>1375.1241</v>
      </c>
      <c r="AS52" s="12">
        <v>218.83150000000001</v>
      </c>
      <c r="AT52" s="12">
        <v>15.913581908716456</v>
      </c>
      <c r="AU52" s="12">
        <v>1331.3724</v>
      </c>
      <c r="AV52" s="12">
        <v>215.75450000000001</v>
      </c>
      <c r="AW52" s="12">
        <v>16.20542081238878</v>
      </c>
      <c r="AX52" s="12">
        <v>1383.2121</v>
      </c>
      <c r="AY52" s="12">
        <v>297.8886</v>
      </c>
      <c r="AZ52" s="12">
        <v>21.536003046821236</v>
      </c>
      <c r="BA52" s="12">
        <v>1349.117</v>
      </c>
      <c r="BB52" s="12">
        <v>288.58999999999997</v>
      </c>
      <c r="BC52" s="12">
        <v>21.391028354101238</v>
      </c>
      <c r="BD52" s="12">
        <v>90.534899999999993</v>
      </c>
      <c r="BE52" s="12">
        <v>0</v>
      </c>
      <c r="BF52" s="12">
        <v>0</v>
      </c>
      <c r="BG52" s="12">
        <v>1475.502</v>
      </c>
      <c r="BH52" s="12">
        <v>300.4939</v>
      </c>
      <c r="BI52" s="12">
        <v>20.365536610590837</v>
      </c>
      <c r="BJ52" s="12">
        <v>123.5127</v>
      </c>
      <c r="BK52" s="12">
        <v>0</v>
      </c>
      <c r="BL52" s="50">
        <v>0</v>
      </c>
      <c r="BM52" s="50">
        <v>1319.2669000000001</v>
      </c>
      <c r="BN52" s="50">
        <v>304.64440000000002</v>
      </c>
      <c r="BO52" s="50">
        <v>23.091945989094398</v>
      </c>
      <c r="BP52" s="53">
        <v>305</v>
      </c>
      <c r="BQ52" s="53">
        <v>305</v>
      </c>
      <c r="BR52" s="61">
        <v>304.50779999999997</v>
      </c>
      <c r="BS52" s="61">
        <v>330</v>
      </c>
      <c r="BT52" s="57">
        <v>360</v>
      </c>
      <c r="BU52" s="12">
        <v>349.70460000000003</v>
      </c>
      <c r="BV52" s="57">
        <v>485.1114</v>
      </c>
      <c r="BW52" s="81">
        <v>371.9248</v>
      </c>
      <c r="BX52" s="13">
        <v>346.09719999999999</v>
      </c>
      <c r="BY52" s="109">
        <v>407.74860000000001</v>
      </c>
      <c r="BZ52" s="13">
        <v>436.495</v>
      </c>
      <c r="CA52" s="13">
        <v>385.53110000000004</v>
      </c>
      <c r="CB52" s="13">
        <v>458.59230000000002</v>
      </c>
      <c r="CC52" s="12">
        <v>504.52519999999998</v>
      </c>
      <c r="CD52" s="12">
        <v>460.88900000000001</v>
      </c>
      <c r="CE52" s="81">
        <v>508.59229999999997</v>
      </c>
      <c r="CF52" s="12">
        <v>550.35519999999997</v>
      </c>
      <c r="CG52" s="12">
        <v>512.99239999999998</v>
      </c>
      <c r="CH52" s="12">
        <v>676.38670000000002</v>
      </c>
      <c r="CI52" s="13">
        <v>639.43349999999998</v>
      </c>
      <c r="CJ52" s="13">
        <f>278.9389+273.7804</f>
        <v>552.71929999999998</v>
      </c>
      <c r="CK52" s="13">
        <v>711.0915</v>
      </c>
      <c r="CL52" s="13">
        <v>759.3614</v>
      </c>
      <c r="CM52" s="13">
        <f>402.0914+357.3164</f>
        <v>759.40779999999995</v>
      </c>
      <c r="CN52" s="13">
        <f>352.1682+343.5204</f>
        <v>695.68859999999995</v>
      </c>
      <c r="CO52" s="13">
        <f>371.8195+406.5189</f>
        <v>778.33839999999998</v>
      </c>
      <c r="CP52" s="13">
        <f>397.3639+322.6393</f>
        <v>720.00319999999999</v>
      </c>
      <c r="CQ52" s="13">
        <f>393.665+329.4519</f>
        <v>723.11689999999999</v>
      </c>
    </row>
    <row r="53" spans="1:95" ht="15.75" x14ac:dyDescent="0.25">
      <c r="A53" s="11" t="s">
        <v>96</v>
      </c>
      <c r="B53" s="12">
        <v>14.9542</v>
      </c>
      <c r="C53" s="12">
        <v>0</v>
      </c>
      <c r="D53" s="12">
        <v>0</v>
      </c>
      <c r="E53" s="12">
        <v>0.62619999999999998</v>
      </c>
      <c r="F53" s="12">
        <v>0</v>
      </c>
      <c r="G53" s="12">
        <v>0</v>
      </c>
      <c r="H53" s="12">
        <v>14.423500000000001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26.891500000000001</v>
      </c>
      <c r="O53" s="12">
        <v>0</v>
      </c>
      <c r="P53" s="12">
        <v>0</v>
      </c>
      <c r="Q53" s="12">
        <v>25.891400000000001</v>
      </c>
      <c r="R53" s="12">
        <v>0</v>
      </c>
      <c r="S53" s="12">
        <v>0</v>
      </c>
      <c r="T53" s="12">
        <v>18.674099999999999</v>
      </c>
      <c r="U53" s="12">
        <v>0</v>
      </c>
      <c r="V53" s="12">
        <v>0</v>
      </c>
      <c r="W53" s="12">
        <v>29.4681</v>
      </c>
      <c r="X53" s="12">
        <v>4.0000000000000002E-4</v>
      </c>
      <c r="Y53" s="12">
        <v>1.357400035971101E-3</v>
      </c>
      <c r="Z53" s="12">
        <v>5.0299999999999997E-2</v>
      </c>
      <c r="AA53" s="12">
        <v>0</v>
      </c>
      <c r="AB53" s="12">
        <v>0</v>
      </c>
      <c r="AC53" s="12">
        <v>1.8E-3</v>
      </c>
      <c r="AD53" s="12">
        <v>4.0000000000000002E-4</v>
      </c>
      <c r="AE53" s="12">
        <v>22.222222222222225</v>
      </c>
      <c r="AF53" s="12">
        <v>43.718800000000002</v>
      </c>
      <c r="AG53" s="12">
        <v>7.7817999999999996</v>
      </c>
      <c r="AH53" s="12">
        <v>17.799665132620291</v>
      </c>
      <c r="AI53" s="12">
        <v>43.672400000000003</v>
      </c>
      <c r="AJ53" s="12">
        <v>7.7625000000000002</v>
      </c>
      <c r="AK53" s="12">
        <v>17.77438382136086</v>
      </c>
      <c r="AL53" s="12">
        <v>323.27409999999998</v>
      </c>
      <c r="AM53" s="12">
        <v>57.154000000000003</v>
      </c>
      <c r="AN53" s="12">
        <v>17.679733699668489</v>
      </c>
      <c r="AO53" s="12">
        <v>278.60320000000002</v>
      </c>
      <c r="AP53" s="12">
        <v>48.9587</v>
      </c>
      <c r="AQ53" s="12">
        <v>17.572913735377053</v>
      </c>
      <c r="AR53" s="12">
        <v>1.9E-3</v>
      </c>
      <c r="AS53" s="12">
        <v>4.0000000000000002E-4</v>
      </c>
      <c r="AT53" s="12">
        <v>21.05263157894737</v>
      </c>
      <c r="AU53" s="12">
        <v>-9.2552000000000003</v>
      </c>
      <c r="AV53" s="12">
        <v>0</v>
      </c>
      <c r="AW53" s="12">
        <v>0</v>
      </c>
      <c r="AX53" s="12">
        <v>214.78229999999999</v>
      </c>
      <c r="AY53" s="12">
        <v>37.267699999999998</v>
      </c>
      <c r="AZ53" s="12">
        <v>17.351383237818013</v>
      </c>
      <c r="BA53" s="12">
        <v>147.89519999999999</v>
      </c>
      <c r="BB53" s="12">
        <v>25.519200000000001</v>
      </c>
      <c r="BC53" s="12">
        <v>17.254921052204537</v>
      </c>
      <c r="BD53" s="12">
        <v>55.804299999999998</v>
      </c>
      <c r="BE53" s="12">
        <v>10.1325</v>
      </c>
      <c r="BF53" s="12">
        <v>18.157202939558424</v>
      </c>
      <c r="BG53" s="12">
        <v>94.500299999999996</v>
      </c>
      <c r="BH53" s="12">
        <v>15.979100000000001</v>
      </c>
      <c r="BI53" s="12">
        <v>16.909046849586723</v>
      </c>
      <c r="BJ53" s="12">
        <v>40.422699999999999</v>
      </c>
      <c r="BK53" s="12">
        <v>6.2201000000000004</v>
      </c>
      <c r="BL53" s="50">
        <v>15.38764110264777</v>
      </c>
      <c r="BM53" s="50">
        <v>38.425400000000003</v>
      </c>
      <c r="BN53" s="50">
        <v>6.22</v>
      </c>
      <c r="BO53" s="50">
        <v>16.187209502048123</v>
      </c>
      <c r="BP53" s="53">
        <v>19.940100000000001</v>
      </c>
      <c r="BQ53" s="53">
        <v>13.450099999999999</v>
      </c>
      <c r="BR53" s="61">
        <v>0.86</v>
      </c>
      <c r="BS53" s="61">
        <v>13.7501</v>
      </c>
      <c r="BT53" s="57">
        <v>4.8000999999999996</v>
      </c>
      <c r="BU53" s="13">
        <v>0</v>
      </c>
      <c r="BV53" s="57">
        <v>10.7501</v>
      </c>
      <c r="BW53" s="98">
        <v>3.33</v>
      </c>
      <c r="BX53" s="13">
        <v>3.2736000000000001</v>
      </c>
      <c r="BY53" s="109">
        <v>0.67020000000000002</v>
      </c>
      <c r="BZ53" s="13">
        <v>0.67030000000000001</v>
      </c>
      <c r="CA53" s="13">
        <v>0.65010000000000001</v>
      </c>
      <c r="CB53" s="13">
        <v>4.6455000000000002</v>
      </c>
      <c r="CC53" s="12">
        <v>0.28920000000000001</v>
      </c>
      <c r="CD53" s="12">
        <v>0.28820000000000001</v>
      </c>
      <c r="CE53" s="81">
        <v>4.2</v>
      </c>
      <c r="CF53" s="12">
        <v>0</v>
      </c>
      <c r="CG53" s="12">
        <v>0</v>
      </c>
      <c r="CH53" s="12">
        <v>2.0402</v>
      </c>
      <c r="CI53" s="13">
        <v>5.8474000000000004</v>
      </c>
      <c r="CJ53" s="13">
        <f>2.3389+3.5085</f>
        <v>5.8474000000000004</v>
      </c>
      <c r="CK53" s="13">
        <v>4.2218</v>
      </c>
      <c r="CL53" s="13">
        <v>4.2218</v>
      </c>
      <c r="CM53" s="13">
        <v>0</v>
      </c>
      <c r="CN53" s="13">
        <v>0</v>
      </c>
      <c r="CO53" s="13">
        <f>5.8389+8.7584</f>
        <v>14.597300000000001</v>
      </c>
      <c r="CP53" s="13">
        <v>0.08</v>
      </c>
      <c r="CQ53" s="13">
        <f>7.5094+13.9441</f>
        <v>21.453500000000002</v>
      </c>
    </row>
    <row r="54" spans="1:95" ht="15.75" x14ac:dyDescent="0.25">
      <c r="A54" s="19" t="s">
        <v>97</v>
      </c>
      <c r="B54" s="20">
        <v>376.68939999999998</v>
      </c>
      <c r="C54" s="20">
        <v>54.6569</v>
      </c>
      <c r="D54" s="20">
        <v>14.509805691373318</v>
      </c>
      <c r="E54" s="20">
        <v>472.92680000000001</v>
      </c>
      <c r="F54" s="20">
        <v>64.998199999999997</v>
      </c>
      <c r="G54" s="20">
        <v>13.743818282237335</v>
      </c>
      <c r="H54" s="20">
        <v>584.41560000000004</v>
      </c>
      <c r="I54" s="20">
        <v>66.119699999999995</v>
      </c>
      <c r="J54" s="20">
        <v>11.313815031631599</v>
      </c>
      <c r="K54" s="20">
        <v>769.94849999999997</v>
      </c>
      <c r="L54" s="20">
        <v>99.509200000000007</v>
      </c>
      <c r="M54" s="20">
        <v>12.924137133847266</v>
      </c>
      <c r="N54" s="20">
        <v>1204.1485</v>
      </c>
      <c r="O54" s="20">
        <v>173.3895</v>
      </c>
      <c r="P54" s="20">
        <v>14.399345263478716</v>
      </c>
      <c r="Q54" s="20">
        <v>1100.0717</v>
      </c>
      <c r="R54" s="20">
        <v>164.8708</v>
      </c>
      <c r="S54" s="20">
        <v>14.987277647447888</v>
      </c>
      <c r="T54" s="20">
        <v>1341.8748000000001</v>
      </c>
      <c r="U54" s="20">
        <v>190.86070000000001</v>
      </c>
      <c r="V54" s="20">
        <v>14.223435748253117</v>
      </c>
      <c r="W54" s="20">
        <v>1294.4301</v>
      </c>
      <c r="X54" s="20">
        <v>190.8613</v>
      </c>
      <c r="Y54" s="20">
        <v>14.744813180719451</v>
      </c>
      <c r="Z54" s="20">
        <v>1169.8344999999999</v>
      </c>
      <c r="AA54" s="20">
        <v>189.93270000000001</v>
      </c>
      <c r="AB54" s="20">
        <v>16.235860713630863</v>
      </c>
      <c r="AC54" s="20">
        <v>1512.8797</v>
      </c>
      <c r="AD54" s="20">
        <v>183.13419999999999</v>
      </c>
      <c r="AE54" s="20">
        <v>12.105007423921412</v>
      </c>
      <c r="AF54" s="20">
        <v>1315.6691000000001</v>
      </c>
      <c r="AG54" s="20">
        <v>129.7818</v>
      </c>
      <c r="AH54" s="20">
        <v>9.8643192273801965</v>
      </c>
      <c r="AI54" s="20">
        <v>1262.1005</v>
      </c>
      <c r="AJ54" s="20">
        <v>129.6191</v>
      </c>
      <c r="AK54" s="20">
        <v>10.270109234565711</v>
      </c>
      <c r="AL54" s="20">
        <v>1805.9721</v>
      </c>
      <c r="AM54" s="20">
        <v>275.9855</v>
      </c>
      <c r="AN54" s="20">
        <v>15.281825228640022</v>
      </c>
      <c r="AO54" s="20">
        <v>1863.1738</v>
      </c>
      <c r="AP54" s="20">
        <v>267.79020000000003</v>
      </c>
      <c r="AQ54" s="20">
        <v>14.372797642388488</v>
      </c>
      <c r="AR54" s="20">
        <v>1375.126</v>
      </c>
      <c r="AS54" s="20">
        <v>218.83190000000002</v>
      </c>
      <c r="AT54" s="20">
        <v>15.913589009298059</v>
      </c>
      <c r="AU54" s="20">
        <v>1322.1171999999999</v>
      </c>
      <c r="AV54" s="20">
        <v>215.75450000000001</v>
      </c>
      <c r="AW54" s="20">
        <v>16.318863410898825</v>
      </c>
      <c r="AX54" s="20">
        <v>1597.9944</v>
      </c>
      <c r="AY54" s="20">
        <v>335.15629999999999</v>
      </c>
      <c r="AZ54" s="20">
        <v>20.973559106339795</v>
      </c>
      <c r="BA54" s="20">
        <v>1497.0121999999999</v>
      </c>
      <c r="BB54" s="20">
        <v>314.10919999999999</v>
      </c>
      <c r="BC54" s="20">
        <v>20.982407491401876</v>
      </c>
      <c r="BD54" s="20">
        <v>146.33920000000001</v>
      </c>
      <c r="BE54" s="20">
        <v>10.1325</v>
      </c>
      <c r="BF54" s="20">
        <v>6.9239820909230057</v>
      </c>
      <c r="BG54" s="20">
        <v>1570.0022999999999</v>
      </c>
      <c r="BH54" s="20">
        <v>316.47300000000001</v>
      </c>
      <c r="BI54" s="20">
        <v>20.157486393491272</v>
      </c>
      <c r="BJ54" s="20">
        <v>163.93539999999999</v>
      </c>
      <c r="BK54" s="20">
        <v>6.2201000000000004</v>
      </c>
      <c r="BL54" s="20">
        <v>3.794238462223535</v>
      </c>
      <c r="BM54" s="20">
        <v>1357.6923000000002</v>
      </c>
      <c r="BN54" s="20">
        <v>310.86440000000005</v>
      </c>
      <c r="BO54" s="20">
        <v>22.896528175051152</v>
      </c>
      <c r="BP54" s="20">
        <v>324.94010000000003</v>
      </c>
      <c r="BQ54" s="20">
        <v>318.45010000000002</v>
      </c>
      <c r="BR54" s="59">
        <v>305.36779999999999</v>
      </c>
      <c r="BS54" s="59">
        <v>343.75009999999997</v>
      </c>
      <c r="BT54" s="59">
        <v>364.80009999999999</v>
      </c>
      <c r="BU54" s="59">
        <v>349.70460000000003</v>
      </c>
      <c r="BV54" s="59">
        <v>495.86149999999998</v>
      </c>
      <c r="BW54" s="88">
        <v>375.25479999999999</v>
      </c>
      <c r="BX54" s="88">
        <v>349.37079999999997</v>
      </c>
      <c r="BY54" s="88">
        <v>408.41880000000003</v>
      </c>
      <c r="BZ54" s="88">
        <v>437.1653</v>
      </c>
      <c r="CA54" s="88">
        <v>386.18120000000005</v>
      </c>
      <c r="CB54" s="88">
        <v>463.23780000000005</v>
      </c>
      <c r="CC54" s="88">
        <v>504.81439999999998</v>
      </c>
      <c r="CD54" s="88">
        <v>461.17720000000003</v>
      </c>
      <c r="CE54" s="88">
        <v>512.79229999999995</v>
      </c>
      <c r="CF54" s="59">
        <v>550.35519999999997</v>
      </c>
      <c r="CG54" s="59">
        <v>512.99239999999998</v>
      </c>
      <c r="CH54" s="59">
        <v>678.42690000000005</v>
      </c>
      <c r="CI54" s="59">
        <v>645.28089999999997</v>
      </c>
      <c r="CJ54" s="59">
        <f>SUM(CJ52:CJ53)</f>
        <v>558.56669999999997</v>
      </c>
      <c r="CK54" s="59">
        <v>715.31330000000003</v>
      </c>
      <c r="CL54" s="59">
        <v>763.58320000000003</v>
      </c>
      <c r="CM54" s="21">
        <f>SUM(CM52:CM53)</f>
        <v>759.40779999999995</v>
      </c>
      <c r="CN54" s="21">
        <f>SUM(CN52:CN53)</f>
        <v>695.68859999999995</v>
      </c>
      <c r="CO54" s="21">
        <f>SUM(CO52:CO53)</f>
        <v>792.9357</v>
      </c>
      <c r="CP54" s="21">
        <f>SUM(CP52:CP53)</f>
        <v>720.08320000000003</v>
      </c>
      <c r="CQ54" s="21">
        <f>SUM(CQ52:CQ53)</f>
        <v>744.57039999999995</v>
      </c>
    </row>
    <row r="55" spans="1:95" ht="15.75" x14ac:dyDescent="0.25">
      <c r="A55" s="16" t="s">
        <v>98</v>
      </c>
      <c r="B55" s="12">
        <v>12.561</v>
      </c>
      <c r="C55" s="12">
        <v>0</v>
      </c>
      <c r="D55" s="12">
        <v>0</v>
      </c>
      <c r="E55" s="12">
        <v>15.371</v>
      </c>
      <c r="F55" s="12">
        <v>0</v>
      </c>
      <c r="G55" s="12">
        <v>0</v>
      </c>
      <c r="H55" s="12">
        <v>14.677199999999999</v>
      </c>
      <c r="I55" s="12">
        <v>0</v>
      </c>
      <c r="J55" s="12">
        <v>0</v>
      </c>
      <c r="K55" s="12">
        <v>1.2186999999999999</v>
      </c>
      <c r="L55" s="12">
        <v>0</v>
      </c>
      <c r="M55" s="12">
        <v>0</v>
      </c>
      <c r="N55" s="12">
        <v>1.4452</v>
      </c>
      <c r="O55" s="12">
        <v>0</v>
      </c>
      <c r="P55" s="12">
        <v>0</v>
      </c>
      <c r="Q55" s="12">
        <v>8.0736000000000008</v>
      </c>
      <c r="R55" s="12">
        <v>0</v>
      </c>
      <c r="S55" s="12">
        <v>0</v>
      </c>
      <c r="T55" s="12">
        <v>1.5641</v>
      </c>
      <c r="U55" s="12">
        <v>0</v>
      </c>
      <c r="V55" s="12">
        <v>0</v>
      </c>
      <c r="W55" s="12">
        <v>2.6985000000000001</v>
      </c>
      <c r="X55" s="12">
        <v>0</v>
      </c>
      <c r="Y55" s="12">
        <v>0</v>
      </c>
      <c r="Z55" s="12">
        <v>-0.57730000000000004</v>
      </c>
      <c r="AA55" s="12">
        <v>0</v>
      </c>
      <c r="AB55" s="12">
        <v>0</v>
      </c>
      <c r="AC55" s="12">
        <v>11.8241</v>
      </c>
      <c r="AD55" s="12">
        <v>0</v>
      </c>
      <c r="AE55" s="12">
        <v>0</v>
      </c>
      <c r="AF55" s="12">
        <v>7.8555999999999999</v>
      </c>
      <c r="AG55" s="12">
        <v>0</v>
      </c>
      <c r="AH55" s="12">
        <v>0</v>
      </c>
      <c r="AI55" s="12">
        <v>4.8625999999999996</v>
      </c>
      <c r="AJ55" s="12">
        <v>0</v>
      </c>
      <c r="AK55" s="12">
        <v>0</v>
      </c>
      <c r="AL55" s="12">
        <v>12.0259</v>
      </c>
      <c r="AM55" s="12">
        <v>0</v>
      </c>
      <c r="AN55" s="12">
        <v>0</v>
      </c>
      <c r="AO55" s="12">
        <v>12.0259</v>
      </c>
      <c r="AP55" s="12">
        <v>0</v>
      </c>
      <c r="AQ55" s="12">
        <v>0</v>
      </c>
      <c r="AR55" s="12">
        <v>11.853</v>
      </c>
      <c r="AS55" s="12">
        <v>0</v>
      </c>
      <c r="AT55" s="12">
        <v>0</v>
      </c>
      <c r="AU55" s="12">
        <v>-1.5804</v>
      </c>
      <c r="AV55" s="12">
        <v>0</v>
      </c>
      <c r="AW55" s="12">
        <v>0</v>
      </c>
      <c r="AX55" s="12">
        <v>12.083299999999999</v>
      </c>
      <c r="AY55" s="12">
        <v>0</v>
      </c>
      <c r="AZ55" s="12">
        <v>0</v>
      </c>
      <c r="BA55" s="12">
        <v>12.5862</v>
      </c>
      <c r="BB55" s="12">
        <v>0</v>
      </c>
      <c r="BC55" s="12">
        <v>0</v>
      </c>
      <c r="BD55" s="12">
        <v>5.806</v>
      </c>
      <c r="BE55" s="12">
        <v>0</v>
      </c>
      <c r="BF55" s="12">
        <v>0</v>
      </c>
      <c r="BG55" s="12">
        <v>13.2834</v>
      </c>
      <c r="BH55" s="12">
        <v>0</v>
      </c>
      <c r="BI55" s="12">
        <v>0</v>
      </c>
      <c r="BJ55" s="12">
        <v>11.1784</v>
      </c>
      <c r="BK55" s="12">
        <v>0</v>
      </c>
      <c r="BL55" s="12">
        <v>0</v>
      </c>
      <c r="BM55" s="12">
        <v>12.457800000000001</v>
      </c>
      <c r="BN55" s="12">
        <v>0</v>
      </c>
      <c r="BO55" s="51">
        <v>0</v>
      </c>
      <c r="BP55" s="51">
        <v>0</v>
      </c>
      <c r="BQ55" s="51">
        <v>0</v>
      </c>
      <c r="BR55" s="60">
        <v>0</v>
      </c>
      <c r="BS55" s="60">
        <v>0</v>
      </c>
      <c r="BT55" s="57">
        <v>0</v>
      </c>
      <c r="BU55" s="57">
        <v>0</v>
      </c>
      <c r="BV55" s="57">
        <v>0</v>
      </c>
      <c r="BW55" s="87">
        <v>0</v>
      </c>
      <c r="BX55" s="87">
        <v>0</v>
      </c>
      <c r="BY55" s="87">
        <v>0</v>
      </c>
      <c r="BZ55" s="87">
        <v>0</v>
      </c>
      <c r="CA55" s="12">
        <v>0</v>
      </c>
      <c r="CB55" s="12">
        <v>0</v>
      </c>
      <c r="CC55" s="12">
        <v>0</v>
      </c>
      <c r="CD55" s="12">
        <v>0</v>
      </c>
      <c r="CE55" s="81">
        <v>0</v>
      </c>
      <c r="CF55" s="12">
        <v>0</v>
      </c>
      <c r="CG55" s="12">
        <v>0</v>
      </c>
      <c r="CH55" s="12">
        <v>0</v>
      </c>
      <c r="CI55" s="13">
        <v>0</v>
      </c>
      <c r="CJ55" s="13">
        <v>0</v>
      </c>
      <c r="CK55" s="13">
        <v>0</v>
      </c>
      <c r="CL55" s="13">
        <v>0</v>
      </c>
      <c r="CM55" s="13">
        <v>0</v>
      </c>
      <c r="CN55" s="13">
        <v>0</v>
      </c>
      <c r="CO55" s="13">
        <v>0</v>
      </c>
      <c r="CP55" s="13">
        <v>0</v>
      </c>
      <c r="CQ55" s="13">
        <v>0</v>
      </c>
    </row>
    <row r="56" spans="1:95" ht="15.75" x14ac:dyDescent="0.25">
      <c r="A56" s="16" t="s">
        <v>99</v>
      </c>
      <c r="B56" s="12">
        <v>1917.3842999999999</v>
      </c>
      <c r="C56" s="12">
        <v>3.9809999999999999</v>
      </c>
      <c r="D56" s="12">
        <v>0.20762660881284986</v>
      </c>
      <c r="E56" s="12">
        <v>2184.7964999999999</v>
      </c>
      <c r="F56" s="12">
        <v>3.327</v>
      </c>
      <c r="G56" s="12">
        <v>0.15227962878922591</v>
      </c>
      <c r="H56" s="12">
        <v>1777.9550999999999</v>
      </c>
      <c r="I56" s="12">
        <v>2.3496000000000001</v>
      </c>
      <c r="J56" s="12">
        <v>0.13215181868203535</v>
      </c>
      <c r="K56" s="12">
        <v>957.37490000000003</v>
      </c>
      <c r="L56" s="12">
        <v>1.7836000000000001</v>
      </c>
      <c r="M56" s="12">
        <v>0.18630110315196274</v>
      </c>
      <c r="N56" s="12">
        <v>1218.9303</v>
      </c>
      <c r="O56" s="12">
        <v>200.27449999999999</v>
      </c>
      <c r="P56" s="12">
        <v>16.430348806654489</v>
      </c>
      <c r="Q56" s="12">
        <v>917.64589999999998</v>
      </c>
      <c r="R56" s="12">
        <v>133.6275</v>
      </c>
      <c r="S56" s="12">
        <v>14.561989543025256</v>
      </c>
      <c r="T56" s="12">
        <v>1394.4721</v>
      </c>
      <c r="U56" s="12">
        <v>263.85750000000002</v>
      </c>
      <c r="V56" s="12">
        <v>18.921676525475124</v>
      </c>
      <c r="W56" s="12">
        <v>1449.5289</v>
      </c>
      <c r="X56" s="12">
        <v>282.99290000000002</v>
      </c>
      <c r="Y56" s="12">
        <v>19.523094710288287</v>
      </c>
      <c r="Z56" s="12">
        <v>1225.9157</v>
      </c>
      <c r="AA56" s="12">
        <v>236.86359999999999</v>
      </c>
      <c r="AB56" s="12">
        <v>19.32136116700357</v>
      </c>
      <c r="AC56" s="12">
        <v>2544.9965000000002</v>
      </c>
      <c r="AD56" s="12">
        <v>409.05290000000002</v>
      </c>
      <c r="AE56" s="12">
        <v>16.072827605067435</v>
      </c>
      <c r="AF56" s="12">
        <v>2981.7673</v>
      </c>
      <c r="AG56" s="12">
        <v>529.50689999999997</v>
      </c>
      <c r="AH56" s="12">
        <v>17.758156379272116</v>
      </c>
      <c r="AI56" s="12">
        <v>2746.7361999999998</v>
      </c>
      <c r="AJ56" s="12">
        <v>476.1746</v>
      </c>
      <c r="AK56" s="12">
        <v>17.336015013017995</v>
      </c>
      <c r="AL56" s="12">
        <v>3374.9007000000001</v>
      </c>
      <c r="AM56" s="12">
        <v>602.52800000000002</v>
      </c>
      <c r="AN56" s="12">
        <v>17.853206762498228</v>
      </c>
      <c r="AO56" s="12">
        <v>4632.9597999999996</v>
      </c>
      <c r="AP56" s="12">
        <v>881.70100000000002</v>
      </c>
      <c r="AQ56" s="12">
        <v>19.031052244398929</v>
      </c>
      <c r="AR56" s="12">
        <v>4847.5995999999996</v>
      </c>
      <c r="AS56" s="12">
        <v>839.25369999999998</v>
      </c>
      <c r="AT56" s="12">
        <v>17.312768571067629</v>
      </c>
      <c r="AU56" s="12">
        <v>4484.8024999999998</v>
      </c>
      <c r="AV56" s="12">
        <v>753.92989999999998</v>
      </c>
      <c r="AW56" s="12">
        <v>16.810771488822528</v>
      </c>
      <c r="AX56" s="12">
        <v>4661.1588000000002</v>
      </c>
      <c r="AY56" s="12">
        <v>723.78719999999998</v>
      </c>
      <c r="AZ56" s="12">
        <v>15.528052809528821</v>
      </c>
      <c r="BA56" s="12">
        <v>4513.2097999999996</v>
      </c>
      <c r="BB56" s="12">
        <v>826.952</v>
      </c>
      <c r="BC56" s="12">
        <v>18.322923964226081</v>
      </c>
      <c r="BD56" s="12">
        <v>4377.6324000000004</v>
      </c>
      <c r="BE56" s="12">
        <v>782.1223</v>
      </c>
      <c r="BF56" s="12">
        <v>17.866331124559476</v>
      </c>
      <c r="BG56" s="12">
        <v>5435.2461000000003</v>
      </c>
      <c r="BH56" s="12">
        <v>981.37490000000003</v>
      </c>
      <c r="BI56" s="12">
        <v>18.055758321596514</v>
      </c>
      <c r="BJ56" s="12">
        <v>4619.3833000000004</v>
      </c>
      <c r="BK56" s="12">
        <v>827.46410000000003</v>
      </c>
      <c r="BL56" s="12">
        <v>17.912869451643036</v>
      </c>
      <c r="BM56" s="12">
        <v>4187.2644</v>
      </c>
      <c r="BN56" s="12">
        <v>736.23789999999997</v>
      </c>
      <c r="BO56" s="51">
        <v>17.582789852009345</v>
      </c>
      <c r="BP56" s="51">
        <v>1078.9112</v>
      </c>
      <c r="BQ56" s="51">
        <v>886.44600000000003</v>
      </c>
      <c r="BR56" s="60">
        <v>804.60300000000007</v>
      </c>
      <c r="BS56" s="60">
        <v>1011.5352</v>
      </c>
      <c r="BT56" s="57">
        <v>777.51569999999992</v>
      </c>
      <c r="BU56" s="12">
        <v>660.64609999999993</v>
      </c>
      <c r="BV56" s="57">
        <v>910.02609999999993</v>
      </c>
      <c r="BW56" s="81">
        <v>797.18219999999997</v>
      </c>
      <c r="BX56" s="13">
        <v>544.39110000000005</v>
      </c>
      <c r="BY56" s="109">
        <v>944.25319999999999</v>
      </c>
      <c r="BZ56" s="13">
        <v>712.31459999999993</v>
      </c>
      <c r="CA56" s="13">
        <v>660.78230000000008</v>
      </c>
      <c r="CB56" s="13">
        <v>1151.0924</v>
      </c>
      <c r="CC56" s="12">
        <v>1033.3658</v>
      </c>
      <c r="CD56" s="12">
        <v>840.39</v>
      </c>
      <c r="CE56" s="81">
        <v>1198.1806000000001</v>
      </c>
      <c r="CF56" s="12">
        <v>420.92959999999999</v>
      </c>
      <c r="CG56" s="12">
        <v>384.36349999999999</v>
      </c>
      <c r="CH56" s="12">
        <v>916.2201</v>
      </c>
      <c r="CI56" s="13">
        <v>781.94269999999995</v>
      </c>
      <c r="CJ56" s="13">
        <f>553.492</f>
        <v>553.49199999999996</v>
      </c>
      <c r="CK56" s="13">
        <v>1129.7474999999999</v>
      </c>
      <c r="CL56" s="13">
        <v>1028.2099000000001</v>
      </c>
      <c r="CM56" s="13">
        <f>1007.0496+18.7398</f>
        <v>1025.7894000000001</v>
      </c>
      <c r="CN56" s="13">
        <f>808.6942+14.6363</f>
        <v>823.33050000000003</v>
      </c>
      <c r="CO56" s="13">
        <f>1237.567+0.0056</f>
        <v>1237.5726</v>
      </c>
      <c r="CP56" s="13">
        <f>720.5934+0.005</f>
        <v>720.59839999999997</v>
      </c>
      <c r="CQ56" s="13">
        <f>1307.4008+0.0051</f>
        <v>1307.4059</v>
      </c>
    </row>
    <row r="57" spans="1:95" ht="15.75" x14ac:dyDescent="0.25">
      <c r="A57" s="19" t="s">
        <v>100</v>
      </c>
      <c r="B57" s="20">
        <v>1929.9453000000001</v>
      </c>
      <c r="C57" s="20">
        <v>3.9809999999999999</v>
      </c>
      <c r="D57" s="20">
        <v>0.20627527629928163</v>
      </c>
      <c r="E57" s="20">
        <v>2200.1675</v>
      </c>
      <c r="F57" s="20">
        <v>3.327</v>
      </c>
      <c r="G57" s="20">
        <v>0.15121575970920395</v>
      </c>
      <c r="H57" s="20">
        <v>1792.6323</v>
      </c>
      <c r="I57" s="20">
        <v>2.3496000000000001</v>
      </c>
      <c r="J57" s="20">
        <v>0.13106982396780423</v>
      </c>
      <c r="K57" s="20">
        <v>958.59360000000004</v>
      </c>
      <c r="L57" s="20">
        <v>1.7836000000000001</v>
      </c>
      <c r="M57" s="20">
        <v>0.18606425079407998</v>
      </c>
      <c r="N57" s="20">
        <v>1220.3755000000001</v>
      </c>
      <c r="O57" s="20">
        <v>200.27449999999999</v>
      </c>
      <c r="P57" s="20">
        <v>16.410891565751687</v>
      </c>
      <c r="Q57" s="20">
        <v>925.71950000000004</v>
      </c>
      <c r="R57" s="20">
        <v>133.6275</v>
      </c>
      <c r="S57" s="20">
        <v>14.434988136255095</v>
      </c>
      <c r="T57" s="20">
        <v>1396.0362</v>
      </c>
      <c r="U57" s="20">
        <v>263.85750000000002</v>
      </c>
      <c r="V57" s="20">
        <v>18.900476936056528</v>
      </c>
      <c r="W57" s="20">
        <v>1452.2274</v>
      </c>
      <c r="X57" s="20">
        <v>282.99290000000002</v>
      </c>
      <c r="Y57" s="20">
        <v>19.486817284951378</v>
      </c>
      <c r="Z57" s="20">
        <v>1225.3384000000001</v>
      </c>
      <c r="AA57" s="20">
        <v>236.86359999999999</v>
      </c>
      <c r="AB57" s="20">
        <v>19.330464139538918</v>
      </c>
      <c r="AC57" s="20">
        <v>2556.8206</v>
      </c>
      <c r="AD57" s="20">
        <v>409.05290000000002</v>
      </c>
      <c r="AE57" s="20">
        <v>15.998498291198063</v>
      </c>
      <c r="AF57" s="20">
        <v>2989.6228999999998</v>
      </c>
      <c r="AG57" s="20">
        <v>529.50689999999997</v>
      </c>
      <c r="AH57" s="20">
        <v>17.711494650378814</v>
      </c>
      <c r="AI57" s="20">
        <v>2751.5987999999998</v>
      </c>
      <c r="AJ57" s="20">
        <v>476.1746</v>
      </c>
      <c r="AK57" s="20">
        <v>17.305378967311661</v>
      </c>
      <c r="AL57" s="20">
        <v>3386.9265999999998</v>
      </c>
      <c r="AM57" s="20">
        <v>602.52800000000002</v>
      </c>
      <c r="AN57" s="20">
        <v>17.789815698987987</v>
      </c>
      <c r="AO57" s="20">
        <v>4644.9857000000002</v>
      </c>
      <c r="AP57" s="20">
        <v>881.70100000000002</v>
      </c>
      <c r="AQ57" s="20">
        <v>18.981780718937415</v>
      </c>
      <c r="AR57" s="20">
        <v>4859.4525999999996</v>
      </c>
      <c r="AS57" s="20">
        <v>839.25369999999998</v>
      </c>
      <c r="AT57" s="20">
        <v>17.270539895789909</v>
      </c>
      <c r="AU57" s="20">
        <v>4483.2221</v>
      </c>
      <c r="AV57" s="20">
        <v>753.92989999999998</v>
      </c>
      <c r="AW57" s="20">
        <v>16.816697526540121</v>
      </c>
      <c r="AX57" s="20">
        <v>4673.2421000000004</v>
      </c>
      <c r="AY57" s="20">
        <v>723.78719999999998</v>
      </c>
      <c r="AZ57" s="20">
        <v>15.487902927177686</v>
      </c>
      <c r="BA57" s="20">
        <v>4525.7959999999994</v>
      </c>
      <c r="BB57" s="20">
        <v>826.952</v>
      </c>
      <c r="BC57" s="20">
        <v>18.271968069263398</v>
      </c>
      <c r="BD57" s="20">
        <v>4383.4384</v>
      </c>
      <c r="BE57" s="20">
        <v>782.1223</v>
      </c>
      <c r="BF57" s="20">
        <v>17.842666615321889</v>
      </c>
      <c r="BG57" s="20">
        <v>5448.5295000000006</v>
      </c>
      <c r="BH57" s="20">
        <v>981.37490000000003</v>
      </c>
      <c r="BI57" s="20">
        <v>18.011738763642558</v>
      </c>
      <c r="BJ57" s="20">
        <v>4630.5617000000002</v>
      </c>
      <c r="BK57" s="20">
        <v>827.46410000000003</v>
      </c>
      <c r="BL57" s="20">
        <v>17.869626918047548</v>
      </c>
      <c r="BM57" s="20">
        <v>4199.7222000000002</v>
      </c>
      <c r="BN57" s="20">
        <v>736.23789999999997</v>
      </c>
      <c r="BO57" s="20">
        <v>17.530633335700156</v>
      </c>
      <c r="BP57" s="20">
        <v>1078.9112</v>
      </c>
      <c r="BQ57" s="20">
        <v>886.44600000000003</v>
      </c>
      <c r="BR57" s="59">
        <v>804.60300000000007</v>
      </c>
      <c r="BS57" s="59">
        <v>1011.5352</v>
      </c>
      <c r="BT57" s="59">
        <v>777.51569999999992</v>
      </c>
      <c r="BU57" s="59">
        <v>660.64609999999993</v>
      </c>
      <c r="BV57" s="59">
        <v>910.02609999999993</v>
      </c>
      <c r="BW57" s="88">
        <v>797.18219999999997</v>
      </c>
      <c r="BX57" s="88">
        <v>544.39110000000005</v>
      </c>
      <c r="BY57" s="88">
        <v>944.25319999999999</v>
      </c>
      <c r="BZ57" s="88">
        <v>712.31459999999993</v>
      </c>
      <c r="CA57" s="88">
        <v>660.78230000000008</v>
      </c>
      <c r="CB57" s="88">
        <v>1151.0924</v>
      </c>
      <c r="CC57" s="88">
        <v>1033.3658</v>
      </c>
      <c r="CD57" s="88">
        <v>840.39</v>
      </c>
      <c r="CE57" s="88">
        <v>1198.1806000000001</v>
      </c>
      <c r="CF57" s="59">
        <v>420.92959999999999</v>
      </c>
      <c r="CG57" s="59">
        <v>384.36349999999999</v>
      </c>
      <c r="CH57" s="59">
        <v>916.2201</v>
      </c>
      <c r="CI57" s="59">
        <v>781.94269999999995</v>
      </c>
      <c r="CJ57" s="59">
        <f>SUM(CJ55:CJ56)</f>
        <v>553.49199999999996</v>
      </c>
      <c r="CK57" s="59">
        <v>1129.7474999999999</v>
      </c>
      <c r="CL57" s="59">
        <v>1028.2099000000001</v>
      </c>
      <c r="CM57" s="21">
        <f>SUM(CM55:CM56)</f>
        <v>1025.7894000000001</v>
      </c>
      <c r="CN57" s="21">
        <f>SUM(CN55:CN56)</f>
        <v>823.33050000000003</v>
      </c>
      <c r="CO57" s="21">
        <f>SUM(CO55:CO56)</f>
        <v>1237.5726</v>
      </c>
      <c r="CP57" s="21">
        <f>SUM(CP55:CP56)</f>
        <v>720.59839999999997</v>
      </c>
      <c r="CQ57" s="21">
        <f>SUM(CQ55:CQ56)</f>
        <v>1307.4059</v>
      </c>
    </row>
    <row r="58" spans="1:95" ht="15.75" x14ac:dyDescent="0.25">
      <c r="A58" s="62" t="s">
        <v>101</v>
      </c>
      <c r="B58" s="52">
        <v>124.83029999999999</v>
      </c>
      <c r="C58" s="52">
        <v>0</v>
      </c>
      <c r="D58" s="52">
        <v>0</v>
      </c>
      <c r="E58" s="52">
        <v>209.24619999999999</v>
      </c>
      <c r="F58" s="52">
        <v>0</v>
      </c>
      <c r="G58" s="52">
        <v>0</v>
      </c>
      <c r="H58" s="52">
        <v>258.6266</v>
      </c>
      <c r="I58" s="52">
        <v>0</v>
      </c>
      <c r="J58" s="52">
        <v>0</v>
      </c>
      <c r="K58" s="52">
        <v>132.89660000000001</v>
      </c>
      <c r="L58" s="52">
        <v>0</v>
      </c>
      <c r="M58" s="52">
        <v>0</v>
      </c>
      <c r="N58" s="52">
        <v>372.56540000000001</v>
      </c>
      <c r="O58" s="52">
        <v>53.405200000000001</v>
      </c>
      <c r="P58" s="52">
        <v>14.33444973687841</v>
      </c>
      <c r="Q58" s="52">
        <v>257.1653</v>
      </c>
      <c r="R58" s="52">
        <v>33.539000000000001</v>
      </c>
      <c r="S58" s="52">
        <v>13.041806184582446</v>
      </c>
      <c r="T58" s="52">
        <v>676.45489999999995</v>
      </c>
      <c r="U58" s="52">
        <v>7.7220000000000004</v>
      </c>
      <c r="V58" s="52">
        <v>1.1415395172686309</v>
      </c>
      <c r="W58" s="52">
        <v>1090.6992</v>
      </c>
      <c r="X58" s="52">
        <v>19.190999999999999</v>
      </c>
      <c r="Y58" s="52">
        <v>1.7595135304032494</v>
      </c>
      <c r="Z58" s="52">
        <v>1038.6413</v>
      </c>
      <c r="AA58" s="52">
        <v>19.190999999999999</v>
      </c>
      <c r="AB58" s="52">
        <v>1.8477023780972313</v>
      </c>
      <c r="AC58" s="52">
        <v>1049.4852000000001</v>
      </c>
      <c r="AD58" s="52">
        <v>7.5015000000000001</v>
      </c>
      <c r="AE58" s="52">
        <v>0.71477901736965899</v>
      </c>
      <c r="AF58" s="52">
        <v>960.75670000000002</v>
      </c>
      <c r="AG58" s="52">
        <v>7.5015000000000001</v>
      </c>
      <c r="AH58" s="52">
        <v>0.7807908079121384</v>
      </c>
      <c r="AI58" s="52">
        <v>823.55189999999993</v>
      </c>
      <c r="AJ58" s="52">
        <v>7.5015000000000001</v>
      </c>
      <c r="AK58" s="52">
        <v>0.91087155527174424</v>
      </c>
      <c r="AL58" s="52">
        <v>922.58069999999998</v>
      </c>
      <c r="AM58" s="52">
        <v>1E-4</v>
      </c>
      <c r="AN58" s="52">
        <v>1.0839160194875095E-5</v>
      </c>
      <c r="AO58" s="52">
        <v>1488.2204999999999</v>
      </c>
      <c r="AP58" s="52">
        <v>1E-4</v>
      </c>
      <c r="AQ58" s="52">
        <v>6.7194343848912182E-6</v>
      </c>
      <c r="AR58" s="52">
        <v>1207.0134</v>
      </c>
      <c r="AS58" s="52">
        <v>1E-3</v>
      </c>
      <c r="AT58" s="52">
        <v>8.2849121641897272E-5</v>
      </c>
      <c r="AU58" s="52">
        <v>984.52380000000005</v>
      </c>
      <c r="AV58" s="52">
        <v>0</v>
      </c>
      <c r="AW58" s="52">
        <v>0</v>
      </c>
      <c r="AX58" s="52">
        <v>1149.9375</v>
      </c>
      <c r="AY58" s="52">
        <v>0</v>
      </c>
      <c r="AZ58" s="52">
        <v>0</v>
      </c>
      <c r="BA58" s="52">
        <v>1743.3213000000001</v>
      </c>
      <c r="BB58" s="52">
        <v>1E-4</v>
      </c>
      <c r="BC58" s="52">
        <v>5.7361772611853018E-6</v>
      </c>
      <c r="BD58" s="52">
        <v>1123.9503999999999</v>
      </c>
      <c r="BE58" s="52">
        <v>0</v>
      </c>
      <c r="BF58" s="52">
        <v>0</v>
      </c>
      <c r="BG58" s="52">
        <v>2131.9854</v>
      </c>
      <c r="BH58" s="52">
        <v>1E-4</v>
      </c>
      <c r="BI58" s="52">
        <v>4.6904636401356223E-6</v>
      </c>
      <c r="BJ58" s="52">
        <v>2909.5956000000001</v>
      </c>
      <c r="BK58" s="52">
        <v>1E-4</v>
      </c>
      <c r="BL58" s="52">
        <v>3.4369037401623784E-6</v>
      </c>
      <c r="BM58" s="52">
        <v>2450.2986999999998</v>
      </c>
      <c r="BN58" s="52">
        <v>0</v>
      </c>
      <c r="BO58" s="52">
        <v>0</v>
      </c>
      <c r="BP58" s="52">
        <v>1E-4</v>
      </c>
      <c r="BQ58" s="52">
        <v>1E-4</v>
      </c>
      <c r="BR58" s="52">
        <v>0</v>
      </c>
      <c r="BS58" s="52">
        <v>1E-4</v>
      </c>
      <c r="BT58" s="52">
        <v>1E-4</v>
      </c>
      <c r="BU58" s="32">
        <v>0</v>
      </c>
      <c r="BV58" s="52">
        <v>1E-4</v>
      </c>
      <c r="BW58" s="101">
        <v>0</v>
      </c>
      <c r="BX58" s="116">
        <v>1E-4</v>
      </c>
      <c r="BY58" s="116">
        <v>1E-4</v>
      </c>
      <c r="BZ58" s="116">
        <v>1E-4</v>
      </c>
      <c r="CA58" s="52">
        <v>0</v>
      </c>
      <c r="CB58" s="52">
        <v>0</v>
      </c>
      <c r="CC58" s="52">
        <v>0</v>
      </c>
      <c r="CD58" s="52">
        <v>0</v>
      </c>
      <c r="CE58" s="95">
        <v>0</v>
      </c>
      <c r="CF58" s="52">
        <v>0</v>
      </c>
      <c r="CG58" s="52">
        <v>0</v>
      </c>
      <c r="CH58" s="52">
        <v>0</v>
      </c>
      <c r="CI58" s="32">
        <v>0</v>
      </c>
      <c r="CJ58" s="32">
        <v>0</v>
      </c>
      <c r="CK58" s="32">
        <v>0</v>
      </c>
      <c r="CL58" s="32">
        <v>0</v>
      </c>
      <c r="CM58" s="32">
        <v>0</v>
      </c>
      <c r="CN58" s="32">
        <v>0</v>
      </c>
      <c r="CO58" s="32">
        <v>0</v>
      </c>
      <c r="CP58" s="32">
        <v>0</v>
      </c>
      <c r="CQ58" s="32">
        <v>0</v>
      </c>
    </row>
    <row r="59" spans="1:95" ht="15.75" x14ac:dyDescent="0.25">
      <c r="A59" s="62" t="s">
        <v>102</v>
      </c>
      <c r="B59" s="52">
        <v>306.79180000000002</v>
      </c>
      <c r="C59" s="52">
        <v>0</v>
      </c>
      <c r="D59" s="52">
        <v>0</v>
      </c>
      <c r="E59" s="52">
        <v>666.79010000000005</v>
      </c>
      <c r="F59" s="52">
        <v>0</v>
      </c>
      <c r="G59" s="52">
        <v>0</v>
      </c>
      <c r="H59" s="52">
        <v>459.21080000000001</v>
      </c>
      <c r="I59" s="52">
        <v>0</v>
      </c>
      <c r="J59" s="52">
        <v>0</v>
      </c>
      <c r="K59" s="52">
        <v>532.34739999999999</v>
      </c>
      <c r="L59" s="52">
        <v>0</v>
      </c>
      <c r="M59" s="52">
        <v>0</v>
      </c>
      <c r="N59" s="52">
        <v>886.9905</v>
      </c>
      <c r="O59" s="52">
        <v>41.523800000000001</v>
      </c>
      <c r="P59" s="52">
        <v>4.681425562055062</v>
      </c>
      <c r="Q59" s="52">
        <v>656.78959999999995</v>
      </c>
      <c r="R59" s="52">
        <v>23.8749</v>
      </c>
      <c r="S59" s="52">
        <v>3.6350910550349766</v>
      </c>
      <c r="T59" s="52">
        <v>994.50909999999999</v>
      </c>
      <c r="U59" s="52">
        <v>43.936599999999999</v>
      </c>
      <c r="V59" s="52">
        <v>4.4179183478562436</v>
      </c>
      <c r="W59" s="52">
        <v>1256.8972000000001</v>
      </c>
      <c r="X59" s="52">
        <v>66.904899999999998</v>
      </c>
      <c r="Y59" s="52">
        <v>5.3230208484830737</v>
      </c>
      <c r="Z59" s="52">
        <v>978.71389999999997</v>
      </c>
      <c r="AA59" s="52">
        <v>30.607700000000001</v>
      </c>
      <c r="AB59" s="52">
        <v>3.1273388474405035</v>
      </c>
      <c r="AC59" s="52">
        <v>1453.3403000000001</v>
      </c>
      <c r="AD59" s="52">
        <v>119.2576</v>
      </c>
      <c r="AE59" s="52">
        <v>8.205758830192762</v>
      </c>
      <c r="AF59" s="52">
        <v>1332.4793999999999</v>
      </c>
      <c r="AG59" s="52">
        <v>123.3005</v>
      </c>
      <c r="AH59" s="52">
        <v>9.2534638809425509</v>
      </c>
      <c r="AI59" s="52">
        <v>1063.3150000000001</v>
      </c>
      <c r="AJ59" s="52">
        <v>60.145899999999997</v>
      </c>
      <c r="AK59" s="52">
        <v>5.6564517570052146</v>
      </c>
      <c r="AL59" s="52">
        <v>1368.5622000000001</v>
      </c>
      <c r="AM59" s="52">
        <v>128.5127</v>
      </c>
      <c r="AN59" s="52">
        <v>9.3903441144289967</v>
      </c>
      <c r="AO59" s="52">
        <v>1197.5628999999999</v>
      </c>
      <c r="AP59" s="52">
        <v>128.5129</v>
      </c>
      <c r="AQ59" s="52">
        <v>10.731202511367046</v>
      </c>
      <c r="AR59" s="52">
        <v>651.32830000000001</v>
      </c>
      <c r="AS59" s="52">
        <v>67.251800000000003</v>
      </c>
      <c r="AT59" s="52">
        <v>10.32533055910514</v>
      </c>
      <c r="AU59" s="52">
        <v>519.82550000000003</v>
      </c>
      <c r="AV59" s="52">
        <v>59.024900000000002</v>
      </c>
      <c r="AW59" s="52">
        <v>11.354752700665896</v>
      </c>
      <c r="AX59" s="52">
        <v>824.50099999999998</v>
      </c>
      <c r="AY59" s="52">
        <v>74.048599999999993</v>
      </c>
      <c r="AZ59" s="52">
        <v>8.9810200351485321</v>
      </c>
      <c r="BA59" s="52">
        <v>810.54830000000004</v>
      </c>
      <c r="BB59" s="52">
        <v>87.534500000000008</v>
      </c>
      <c r="BC59" s="52">
        <v>10.799418122275997</v>
      </c>
      <c r="BD59" s="52">
        <v>473.28890000000001</v>
      </c>
      <c r="BE59" s="52">
        <v>40.109499999999997</v>
      </c>
      <c r="BF59" s="52">
        <v>8.474633569475218</v>
      </c>
      <c r="BG59" s="52">
        <v>1767.5694000000001</v>
      </c>
      <c r="BH59" s="52">
        <v>176.03030000000001</v>
      </c>
      <c r="BI59" s="52">
        <v>9.9588904401716842</v>
      </c>
      <c r="BJ59" s="52">
        <v>1093.9756</v>
      </c>
      <c r="BK59" s="52">
        <v>99.591499999999996</v>
      </c>
      <c r="BL59" s="52">
        <v>9.1036308305230929</v>
      </c>
      <c r="BM59" s="52">
        <v>873.17330000000004</v>
      </c>
      <c r="BN59" s="52">
        <v>80.603899999999996</v>
      </c>
      <c r="BO59" s="52">
        <v>9.2311457530824637</v>
      </c>
      <c r="BP59" s="52">
        <v>113.0654</v>
      </c>
      <c r="BQ59" s="52">
        <v>31.073799999999999</v>
      </c>
      <c r="BR59" s="52">
        <v>70.069600000000008</v>
      </c>
      <c r="BS59" s="52">
        <v>121.7873</v>
      </c>
      <c r="BT59" s="52">
        <v>159.14579999999995</v>
      </c>
      <c r="BU59" s="52">
        <v>154.19539999999998</v>
      </c>
      <c r="BV59" s="52">
        <v>80.477800000000002</v>
      </c>
      <c r="BW59" s="95">
        <v>49.275099999999995</v>
      </c>
      <c r="BX59" s="32">
        <v>48.088999999999999</v>
      </c>
      <c r="BY59" s="116">
        <v>82.930700000000002</v>
      </c>
      <c r="BZ59" s="32">
        <v>143.43729999999999</v>
      </c>
      <c r="CA59" s="32">
        <v>137.73079999999999</v>
      </c>
      <c r="CB59" s="32">
        <v>48.953099999999999</v>
      </c>
      <c r="CC59" s="52">
        <v>112.0526</v>
      </c>
      <c r="CD59" s="52">
        <v>80.661100000000005</v>
      </c>
      <c r="CE59" s="95">
        <v>381.33960000000002</v>
      </c>
      <c r="CF59" s="52">
        <v>576.35559999999998</v>
      </c>
      <c r="CG59" s="52">
        <v>349.81760000000003</v>
      </c>
      <c r="CH59" s="52">
        <v>1156.5119999999999</v>
      </c>
      <c r="CI59" s="32">
        <v>678.47310000000004</v>
      </c>
      <c r="CJ59" s="32">
        <f>0.6982+1.523+243.6052+187.8758</f>
        <v>433.7022</v>
      </c>
      <c r="CK59" s="32">
        <v>1150.3905999999999</v>
      </c>
      <c r="CL59" s="32">
        <v>1159.8869999999999</v>
      </c>
      <c r="CM59" s="32">
        <f>7.38+9.4963+676.914+303.8988</f>
        <v>997.68910000000005</v>
      </c>
      <c r="CN59" s="32">
        <f>1.2055+9.4953+253.7191+92.559</f>
        <v>356.97889999999995</v>
      </c>
      <c r="CO59" s="32">
        <f>3.78+713.5561+347.9977</f>
        <v>1065.3337999999999</v>
      </c>
      <c r="CP59" s="32">
        <f>7.0925+398.0667+31.5302</f>
        <v>436.68939999999998</v>
      </c>
      <c r="CQ59" s="32">
        <f>7.2334+989.9448+400.3059</f>
        <v>1397.4840999999999</v>
      </c>
    </row>
    <row r="60" spans="1:95" ht="15.75" x14ac:dyDescent="0.25">
      <c r="A60" s="63" t="s">
        <v>103</v>
      </c>
      <c r="B60" s="64">
        <v>431.62209999999999</v>
      </c>
      <c r="C60" s="64">
        <v>0</v>
      </c>
      <c r="D60" s="64">
        <v>0</v>
      </c>
      <c r="E60" s="64">
        <v>876.03629999999998</v>
      </c>
      <c r="F60" s="64">
        <v>0</v>
      </c>
      <c r="G60" s="64">
        <v>0</v>
      </c>
      <c r="H60" s="64">
        <v>717.8374</v>
      </c>
      <c r="I60" s="64">
        <v>0</v>
      </c>
      <c r="J60" s="64">
        <v>0</v>
      </c>
      <c r="K60" s="64">
        <v>665.24400000000003</v>
      </c>
      <c r="L60" s="64">
        <v>0</v>
      </c>
      <c r="M60" s="64">
        <v>0</v>
      </c>
      <c r="N60" s="64">
        <v>1259.5559000000001</v>
      </c>
      <c r="O60" s="64">
        <v>94.929000000000002</v>
      </c>
      <c r="P60" s="64">
        <v>7.5367040081349295</v>
      </c>
      <c r="Q60" s="64">
        <v>913.95489999999995</v>
      </c>
      <c r="R60" s="64">
        <v>57.413899999999998</v>
      </c>
      <c r="S60" s="64">
        <v>6.2819182872152668</v>
      </c>
      <c r="T60" s="64">
        <v>1670.9639999999999</v>
      </c>
      <c r="U60" s="64">
        <v>51.6586</v>
      </c>
      <c r="V60" s="64">
        <v>3.0915447609882678</v>
      </c>
      <c r="W60" s="64">
        <v>2347.5963999999999</v>
      </c>
      <c r="X60" s="64">
        <v>86.0959</v>
      </c>
      <c r="Y60" s="64">
        <v>3.6674063735998232</v>
      </c>
      <c r="Z60" s="64">
        <v>2017.3552</v>
      </c>
      <c r="AA60" s="64">
        <v>49.798699999999997</v>
      </c>
      <c r="AB60" s="64">
        <v>2.4685142209958859</v>
      </c>
      <c r="AC60" s="64">
        <v>2502.8254999999999</v>
      </c>
      <c r="AD60" s="64">
        <v>126.7591</v>
      </c>
      <c r="AE60" s="64">
        <v>5.0646399439353642</v>
      </c>
      <c r="AF60" s="64">
        <v>2293.2361000000001</v>
      </c>
      <c r="AG60" s="64">
        <v>130.80199999999999</v>
      </c>
      <c r="AH60" s="64">
        <v>5.7038174133051536</v>
      </c>
      <c r="AI60" s="64">
        <v>1886.8669</v>
      </c>
      <c r="AJ60" s="64">
        <v>67.647400000000005</v>
      </c>
      <c r="AK60" s="64">
        <v>3.585170739918115</v>
      </c>
      <c r="AL60" s="64">
        <v>2291.1428999999998</v>
      </c>
      <c r="AM60" s="64">
        <v>128.5128</v>
      </c>
      <c r="AN60" s="64">
        <v>5.6091132508583383</v>
      </c>
      <c r="AO60" s="64">
        <v>2685.7833999999998</v>
      </c>
      <c r="AP60" s="64">
        <v>128.51300000000001</v>
      </c>
      <c r="AQ60" s="64">
        <v>4.7849353749077466</v>
      </c>
      <c r="AR60" s="64">
        <v>1858.3416999999999</v>
      </c>
      <c r="AS60" s="64">
        <v>67.252800000000008</v>
      </c>
      <c r="AT60" s="64">
        <v>3.6189684598908802</v>
      </c>
      <c r="AU60" s="64">
        <v>1504.3493000000001</v>
      </c>
      <c r="AV60" s="64">
        <v>59.024900000000002</v>
      </c>
      <c r="AW60" s="64">
        <v>3.923616675994066</v>
      </c>
      <c r="AX60" s="64">
        <v>1974.4385</v>
      </c>
      <c r="AY60" s="64">
        <v>74.048599999999993</v>
      </c>
      <c r="AZ60" s="64">
        <v>3.7503624448165893</v>
      </c>
      <c r="BA60" s="64">
        <v>2553.8696</v>
      </c>
      <c r="BB60" s="64">
        <v>87.534600000000012</v>
      </c>
      <c r="BC60" s="64">
        <v>3.4275281713678734</v>
      </c>
      <c r="BD60" s="64">
        <v>1597.2393</v>
      </c>
      <c r="BE60" s="64">
        <v>40.109499999999997</v>
      </c>
      <c r="BF60" s="64">
        <v>2.511176628323633</v>
      </c>
      <c r="BG60" s="64">
        <v>3899.5547999999999</v>
      </c>
      <c r="BH60" s="64">
        <v>176.03040000000001</v>
      </c>
      <c r="BI60" s="64">
        <v>4.5141153036238908</v>
      </c>
      <c r="BJ60" s="64">
        <v>4003.5712000000003</v>
      </c>
      <c r="BK60" s="64">
        <v>99.5916</v>
      </c>
      <c r="BL60" s="64">
        <v>2.4875690983090295</v>
      </c>
      <c r="BM60" s="64">
        <v>3323.4719999999998</v>
      </c>
      <c r="BN60" s="64">
        <v>80.603899999999996</v>
      </c>
      <c r="BO60" s="64">
        <v>2.4252919838048883</v>
      </c>
      <c r="BP60" s="64">
        <v>113.0655</v>
      </c>
      <c r="BQ60" s="64">
        <v>31.073899999999998</v>
      </c>
      <c r="BR60" s="64">
        <v>70.069600000000008</v>
      </c>
      <c r="BS60" s="64">
        <v>121.78740000000001</v>
      </c>
      <c r="BT60" s="64">
        <v>159.14589999999995</v>
      </c>
      <c r="BU60" s="64">
        <v>154.19539999999998</v>
      </c>
      <c r="BV60" s="64">
        <v>80.477900000000005</v>
      </c>
      <c r="BW60" s="96">
        <v>49.275099999999995</v>
      </c>
      <c r="BX60" s="96">
        <v>48.089100000000002</v>
      </c>
      <c r="BY60" s="96">
        <v>82.930800000000005</v>
      </c>
      <c r="BZ60" s="96">
        <v>143.4374</v>
      </c>
      <c r="CA60" s="96">
        <v>137.73079999999999</v>
      </c>
      <c r="CB60" s="96">
        <v>48.953099999999999</v>
      </c>
      <c r="CC60" s="96">
        <v>112.0526</v>
      </c>
      <c r="CD60" s="96">
        <v>80.661100000000005</v>
      </c>
      <c r="CE60" s="96">
        <v>381.33960000000002</v>
      </c>
      <c r="CF60" s="64">
        <v>576.35559999999998</v>
      </c>
      <c r="CG60" s="64">
        <v>349.81760000000003</v>
      </c>
      <c r="CH60" s="64">
        <v>1156.5119999999999</v>
      </c>
      <c r="CI60" s="64">
        <v>678.47310000000004</v>
      </c>
      <c r="CJ60" s="64">
        <f>SUM(CJ58:CJ59)</f>
        <v>433.7022</v>
      </c>
      <c r="CK60" s="64">
        <v>1150.3905999999999</v>
      </c>
      <c r="CL60" s="64">
        <v>1159.8869999999999</v>
      </c>
      <c r="CM60" s="33">
        <f>SUM(CM58:CM59)</f>
        <v>997.68910000000005</v>
      </c>
      <c r="CN60" s="33">
        <f>SUM(CN58:CN59)</f>
        <v>356.97889999999995</v>
      </c>
      <c r="CO60" s="33">
        <f>SUM(CO58:CO59)</f>
        <v>1065.3337999999999</v>
      </c>
      <c r="CP60" s="33">
        <f>SUM(CP58:CP59)</f>
        <v>436.68939999999998</v>
      </c>
      <c r="CQ60" s="33">
        <f>SUM(CQ58:CQ59)</f>
        <v>1397.4840999999999</v>
      </c>
    </row>
    <row r="61" spans="1:95" ht="15.75" x14ac:dyDescent="0.25">
      <c r="A61" s="13" t="s">
        <v>104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8.2946000000000009</v>
      </c>
      <c r="I61" s="12">
        <v>0</v>
      </c>
      <c r="J61" s="12">
        <v>0</v>
      </c>
      <c r="K61" s="12">
        <v>15.653499999999999</v>
      </c>
      <c r="L61" s="12">
        <v>0</v>
      </c>
      <c r="M61" s="12">
        <v>0</v>
      </c>
      <c r="N61" s="12">
        <v>20.773199999999999</v>
      </c>
      <c r="O61" s="12">
        <v>0.42409999999999998</v>
      </c>
      <c r="P61" s="12">
        <v>2.0415727957175589</v>
      </c>
      <c r="Q61" s="12">
        <v>18.715900000000001</v>
      </c>
      <c r="R61" s="12">
        <v>0.4204</v>
      </c>
      <c r="S61" s="12">
        <v>2.2462184559652485</v>
      </c>
      <c r="T61" s="12">
        <v>21.560300000000002</v>
      </c>
      <c r="U61" s="12">
        <v>0.89600000000000002</v>
      </c>
      <c r="V61" s="12">
        <v>4.1557863295037638</v>
      </c>
      <c r="W61" s="12">
        <v>28.6145</v>
      </c>
      <c r="X61" s="12">
        <v>0.8952</v>
      </c>
      <c r="Y61" s="12">
        <v>3.1284838106554371</v>
      </c>
      <c r="Z61" s="12">
        <v>24.891500000000001</v>
      </c>
      <c r="AA61" s="12">
        <v>0.88580000000000003</v>
      </c>
      <c r="AB61" s="12">
        <v>3.5586445172046686</v>
      </c>
      <c r="AC61" s="12">
        <v>58.513399999999997</v>
      </c>
      <c r="AD61" s="12">
        <v>3.0783999999999998</v>
      </c>
      <c r="AE61" s="12">
        <v>5.2610171345367043</v>
      </c>
      <c r="AF61" s="12">
        <v>47.160699999999999</v>
      </c>
      <c r="AG61" s="12">
        <v>1.8263</v>
      </c>
      <c r="AH61" s="12">
        <v>3.8725040128751269</v>
      </c>
      <c r="AI61" s="12">
        <v>38.880699999999997</v>
      </c>
      <c r="AJ61" s="12">
        <v>1.8088</v>
      </c>
      <c r="AK61" s="12">
        <v>4.6521796161077349</v>
      </c>
      <c r="AL61" s="12">
        <v>56.471899999999998</v>
      </c>
      <c r="AM61" s="12">
        <v>6.3558000000000003</v>
      </c>
      <c r="AN61" s="12">
        <v>11.254801060350369</v>
      </c>
      <c r="AO61" s="12">
        <v>57.602499999999999</v>
      </c>
      <c r="AP61" s="12">
        <v>7.1458000000000004</v>
      </c>
      <c r="AQ61" s="12">
        <v>12.405364350505621</v>
      </c>
      <c r="AR61" s="12">
        <v>60.228000000000002</v>
      </c>
      <c r="AS61" s="12">
        <v>1.8268</v>
      </c>
      <c r="AT61" s="12">
        <v>3.0331407318855015</v>
      </c>
      <c r="AU61" s="12">
        <v>25.3081</v>
      </c>
      <c r="AV61" s="12">
        <v>1.8239000000000001</v>
      </c>
      <c r="AW61" s="12">
        <v>7.2067835989268261</v>
      </c>
      <c r="AX61" s="12">
        <v>74.761799999999994</v>
      </c>
      <c r="AY61" s="12">
        <v>3.1339999999999999</v>
      </c>
      <c r="AZ61" s="12">
        <v>4.1919803964056515</v>
      </c>
      <c r="BA61" s="12">
        <v>48.080300000000001</v>
      </c>
      <c r="BB61" s="12">
        <v>1.6168</v>
      </c>
      <c r="BC61" s="12">
        <v>3.3627078034038886</v>
      </c>
      <c r="BD61" s="12">
        <v>29.4695</v>
      </c>
      <c r="BE61" s="12">
        <v>1.6059000000000001</v>
      </c>
      <c r="BF61" s="12">
        <v>5.4493629006260713</v>
      </c>
      <c r="BG61" s="12">
        <v>63.901899999999998</v>
      </c>
      <c r="BH61" s="12">
        <v>2.5432999999999999</v>
      </c>
      <c r="BI61" s="12">
        <v>3.9800068542562896</v>
      </c>
      <c r="BJ61" s="12">
        <v>51.087000000000003</v>
      </c>
      <c r="BK61" s="12">
        <v>1.9598</v>
      </c>
      <c r="BL61" s="12">
        <v>3.8362009904672414</v>
      </c>
      <c r="BM61" s="12">
        <v>38.730400000000003</v>
      </c>
      <c r="BN61" s="12">
        <v>1.9596</v>
      </c>
      <c r="BO61" s="12">
        <v>5.0595914320533737</v>
      </c>
      <c r="BP61" s="12">
        <v>4.6260000000000003</v>
      </c>
      <c r="BQ61" s="12">
        <v>4.6391</v>
      </c>
      <c r="BR61" s="57">
        <v>4.6388999999999996</v>
      </c>
      <c r="BS61" s="57">
        <v>5.2584999999999997</v>
      </c>
      <c r="BT61" s="57">
        <v>3.5642999999999998</v>
      </c>
      <c r="BU61" s="12">
        <v>3.5640999999999998</v>
      </c>
      <c r="BV61" s="57">
        <v>4.3494000000000002</v>
      </c>
      <c r="BW61" s="81">
        <v>3.3978000000000002</v>
      </c>
      <c r="BX61" s="13">
        <v>2.3279999999999998</v>
      </c>
      <c r="BY61" s="109">
        <v>3.9409999999999998</v>
      </c>
      <c r="BZ61" s="13">
        <v>2.6274000000000002</v>
      </c>
      <c r="CA61" s="13">
        <v>2.6274000000000002</v>
      </c>
      <c r="CB61" s="13">
        <v>3.31</v>
      </c>
      <c r="CC61" s="12">
        <v>6.97</v>
      </c>
      <c r="CD61" s="12">
        <v>6.0465</v>
      </c>
      <c r="CE61" s="81">
        <v>5.2369000000000003</v>
      </c>
      <c r="CF61" s="12">
        <v>6.1368999999999998</v>
      </c>
      <c r="CG61" s="12">
        <v>4.2182000000000004</v>
      </c>
      <c r="CH61" s="12">
        <v>7.1105999999999998</v>
      </c>
      <c r="CI61" s="13">
        <v>7.4682000000000004</v>
      </c>
      <c r="CJ61" s="13">
        <v>6.4781000000000004</v>
      </c>
      <c r="CK61" s="13">
        <v>8.0953999999999997</v>
      </c>
      <c r="CL61" s="13">
        <v>16.195399999999999</v>
      </c>
      <c r="CM61" s="13">
        <v>10.0351</v>
      </c>
      <c r="CN61" s="13">
        <v>10.0198</v>
      </c>
      <c r="CO61" s="13">
        <v>11.895799999999999</v>
      </c>
      <c r="CP61" s="13">
        <v>19.16</v>
      </c>
      <c r="CQ61" s="13">
        <v>13.612500000000001</v>
      </c>
    </row>
    <row r="62" spans="1:95" ht="15.75" x14ac:dyDescent="0.25">
      <c r="A62" s="13" t="s">
        <v>105</v>
      </c>
      <c r="B62" s="12"/>
      <c r="C62" s="12"/>
      <c r="D62" s="12"/>
      <c r="E62" s="12"/>
      <c r="F62" s="12"/>
      <c r="G62" s="12"/>
      <c r="H62" s="12"/>
      <c r="I62" s="12"/>
      <c r="J62" s="12"/>
      <c r="K62" s="12">
        <v>0.5</v>
      </c>
      <c r="L62" s="12">
        <v>0</v>
      </c>
      <c r="M62" s="12">
        <v>0</v>
      </c>
      <c r="N62" s="12">
        <v>0.5</v>
      </c>
      <c r="O62" s="12">
        <v>0</v>
      </c>
      <c r="P62" s="12">
        <v>0</v>
      </c>
      <c r="Q62" s="12">
        <v>3.1739999999999999</v>
      </c>
      <c r="R62" s="12">
        <v>0</v>
      </c>
      <c r="S62" s="12">
        <v>0</v>
      </c>
      <c r="T62" s="12">
        <v>26.039899999999999</v>
      </c>
      <c r="U62" s="12">
        <v>0.434</v>
      </c>
      <c r="V62" s="12">
        <v>1.6666730671008723</v>
      </c>
      <c r="W62" s="12">
        <v>26.039899999999999</v>
      </c>
      <c r="X62" s="12">
        <v>0.434</v>
      </c>
      <c r="Y62" s="12">
        <v>1.6666730671008723</v>
      </c>
      <c r="Z62" s="12">
        <v>8.0158000000000005</v>
      </c>
      <c r="AA62" s="12">
        <v>0.434</v>
      </c>
      <c r="AB62" s="12">
        <v>5.4143067441802435</v>
      </c>
      <c r="AC62" s="12">
        <v>31.619900000000001</v>
      </c>
      <c r="AD62" s="12">
        <v>6.6974999999999998</v>
      </c>
      <c r="AE62" s="12">
        <v>21.181281408227097</v>
      </c>
      <c r="AF62" s="12">
        <v>37.688299999999998</v>
      </c>
      <c r="AG62" s="12">
        <v>8.8985000000000003</v>
      </c>
      <c r="AH62" s="12">
        <v>23.610775757993864</v>
      </c>
      <c r="AI62" s="12">
        <v>11.780799999999999</v>
      </c>
      <c r="AJ62" s="12">
        <v>0</v>
      </c>
      <c r="AK62" s="12">
        <v>0</v>
      </c>
      <c r="AL62" s="12">
        <v>49.424100000000003</v>
      </c>
      <c r="AM62" s="12">
        <v>12.193199999999999</v>
      </c>
      <c r="AN62" s="12">
        <v>24.670555457762504</v>
      </c>
      <c r="AO62" s="12">
        <v>49.424100000000003</v>
      </c>
      <c r="AP62" s="12">
        <v>12.193199999999999</v>
      </c>
      <c r="AQ62" s="12">
        <v>24.670555457762504</v>
      </c>
      <c r="AR62" s="12">
        <v>24.5745</v>
      </c>
      <c r="AS62" s="12">
        <v>4.3742999999999999</v>
      </c>
      <c r="AT62" s="12">
        <v>17.800158701092595</v>
      </c>
      <c r="AU62" s="12">
        <v>21.986999999999998</v>
      </c>
      <c r="AV62" s="12">
        <v>4.3742999999999999</v>
      </c>
      <c r="AW62" s="12">
        <v>19.894937917860556</v>
      </c>
      <c r="AX62" s="12">
        <v>42.443899999999999</v>
      </c>
      <c r="AY62" s="12">
        <v>7.9675000000000002</v>
      </c>
      <c r="AZ62" s="12">
        <v>18.771837649226391</v>
      </c>
      <c r="BA62" s="12">
        <v>40.459200000000003</v>
      </c>
      <c r="BB62" s="12">
        <v>5.57</v>
      </c>
      <c r="BC62" s="12">
        <v>13.766955352552696</v>
      </c>
      <c r="BD62" s="12">
        <v>39.5535</v>
      </c>
      <c r="BE62" s="12">
        <v>5.4912000000000001</v>
      </c>
      <c r="BF62" s="12">
        <v>13.882968637415146</v>
      </c>
      <c r="BG62" s="12">
        <v>40.552300000000002</v>
      </c>
      <c r="BH62" s="12">
        <v>8.0532000000000004</v>
      </c>
      <c r="BI62" s="12">
        <v>19.858799624189011</v>
      </c>
      <c r="BJ62" s="12">
        <v>26.244599999999998</v>
      </c>
      <c r="BK62" s="12">
        <v>6.7222</v>
      </c>
      <c r="BL62" s="12">
        <v>25.613650046104723</v>
      </c>
      <c r="BM62" s="12">
        <v>6.3597999999999999</v>
      </c>
      <c r="BN62" s="12">
        <v>1.9596</v>
      </c>
      <c r="BO62" s="12">
        <v>30.812289694644484</v>
      </c>
      <c r="BP62" s="12">
        <v>8.8415999999999997</v>
      </c>
      <c r="BQ62" s="12">
        <v>8.9156999999999993</v>
      </c>
      <c r="BR62" s="57">
        <v>4.7035999999999998</v>
      </c>
      <c r="BS62" s="57">
        <v>7.0011000000000001</v>
      </c>
      <c r="BT62" s="57">
        <v>0.59509999999999996</v>
      </c>
      <c r="BU62" s="12">
        <v>0.52490000000000003</v>
      </c>
      <c r="BV62" s="57">
        <v>5.2919</v>
      </c>
      <c r="BW62" s="81">
        <v>1.5001</v>
      </c>
      <c r="BX62" s="13">
        <v>1.5</v>
      </c>
      <c r="BY62" s="109">
        <v>3.5876999999999999</v>
      </c>
      <c r="BZ62" s="13">
        <v>0.75</v>
      </c>
      <c r="CA62" s="13">
        <v>0</v>
      </c>
      <c r="CB62" s="13">
        <v>45.825099999999999</v>
      </c>
      <c r="CC62" s="12">
        <v>7.9969999999999999</v>
      </c>
      <c r="CD62" s="12">
        <v>7.94</v>
      </c>
      <c r="CE62" s="81">
        <v>7.9401000000000002</v>
      </c>
      <c r="CF62" s="12">
        <v>7.9970999999999997</v>
      </c>
      <c r="CG62" s="12">
        <v>4.5503999999999998</v>
      </c>
      <c r="CH62" s="12">
        <v>8.0000999999999998</v>
      </c>
      <c r="CI62" s="12">
        <v>4</v>
      </c>
      <c r="CJ62" s="12">
        <v>3.8</v>
      </c>
      <c r="CK62" s="13">
        <v>18.0001</v>
      </c>
      <c r="CL62" s="13">
        <v>22.9162</v>
      </c>
      <c r="CM62" s="13">
        <v>14.63</v>
      </c>
      <c r="CN62" s="13">
        <v>0.72409999999999997</v>
      </c>
      <c r="CO62" s="13">
        <v>24.206199999999999</v>
      </c>
      <c r="CP62" s="13">
        <v>2.2660999999999998</v>
      </c>
      <c r="CQ62" s="13">
        <v>21.600300000000001</v>
      </c>
    </row>
    <row r="63" spans="1:95" ht="15.75" x14ac:dyDescent="0.25">
      <c r="A63" s="21" t="s">
        <v>106</v>
      </c>
      <c r="B63" s="20"/>
      <c r="C63" s="20"/>
      <c r="D63" s="20"/>
      <c r="E63" s="20"/>
      <c r="F63" s="20"/>
      <c r="G63" s="20"/>
      <c r="H63" s="20"/>
      <c r="I63" s="20"/>
      <c r="J63" s="20"/>
      <c r="K63" s="20">
        <v>16.153500000000001</v>
      </c>
      <c r="L63" s="20">
        <v>0</v>
      </c>
      <c r="M63" s="20">
        <v>0</v>
      </c>
      <c r="N63" s="20">
        <v>21.273199999999999</v>
      </c>
      <c r="O63" s="20">
        <v>0.42409999999999998</v>
      </c>
      <c r="P63" s="20">
        <v>1.993588176672997</v>
      </c>
      <c r="Q63" s="20">
        <v>21.889900000000001</v>
      </c>
      <c r="R63" s="20">
        <v>0.4204</v>
      </c>
      <c r="S63" s="20">
        <v>1.9205204226606789</v>
      </c>
      <c r="T63" s="20">
        <v>47.600200000000001</v>
      </c>
      <c r="U63" s="20">
        <v>1.33</v>
      </c>
      <c r="V63" s="20">
        <v>2.7941059071180376</v>
      </c>
      <c r="W63" s="20">
        <v>54.654400000000003</v>
      </c>
      <c r="X63" s="20">
        <v>1.3291999999999999</v>
      </c>
      <c r="Y63" s="20">
        <v>2.4320091337568428</v>
      </c>
      <c r="Z63" s="20">
        <v>32.907299999999999</v>
      </c>
      <c r="AA63" s="20">
        <v>1.3198000000000001</v>
      </c>
      <c r="AB63" s="20">
        <v>4.0106602486378407</v>
      </c>
      <c r="AC63" s="20">
        <v>90.133300000000006</v>
      </c>
      <c r="AD63" s="20">
        <v>9.7759</v>
      </c>
      <c r="AE63" s="20">
        <v>10.846046910520306</v>
      </c>
      <c r="AF63" s="20">
        <v>84.849000000000004</v>
      </c>
      <c r="AG63" s="20">
        <v>10.7248</v>
      </c>
      <c r="AH63" s="20">
        <v>12.639866115098586</v>
      </c>
      <c r="AI63" s="20">
        <v>50.661499999999997</v>
      </c>
      <c r="AJ63" s="20">
        <v>1.8088</v>
      </c>
      <c r="AK63" s="20">
        <v>3.5703640831795349</v>
      </c>
      <c r="AL63" s="20">
        <v>105.896</v>
      </c>
      <c r="AM63" s="20">
        <v>18.548999999999999</v>
      </c>
      <c r="AN63" s="20">
        <v>17.516242350985873</v>
      </c>
      <c r="AO63" s="20">
        <v>107.0266</v>
      </c>
      <c r="AP63" s="20">
        <v>19.338999999999999</v>
      </c>
      <c r="AQ63" s="20">
        <v>18.069339771608178</v>
      </c>
      <c r="AR63" s="20">
        <v>84.802500000000009</v>
      </c>
      <c r="AS63" s="20">
        <v>6.2011000000000003</v>
      </c>
      <c r="AT63" s="20">
        <v>7.3124023466289305</v>
      </c>
      <c r="AU63" s="20">
        <v>25.3081</v>
      </c>
      <c r="AV63" s="20">
        <v>1.8239000000000001</v>
      </c>
      <c r="AW63" s="20">
        <v>7.2067835989268261</v>
      </c>
      <c r="AX63" s="20">
        <v>117.20569999999999</v>
      </c>
      <c r="AY63" s="20">
        <v>11.1015</v>
      </c>
      <c r="AZ63" s="20">
        <v>9.4718089649223547</v>
      </c>
      <c r="BA63" s="20">
        <v>48.080300000000001</v>
      </c>
      <c r="BB63" s="20">
        <v>1.6168</v>
      </c>
      <c r="BC63" s="20">
        <v>3.3627078034038886</v>
      </c>
      <c r="BD63" s="20">
        <v>69.022999999999996</v>
      </c>
      <c r="BE63" s="20">
        <v>7.0971000000000002</v>
      </c>
      <c r="BF63" s="20">
        <v>10.282224765657826</v>
      </c>
      <c r="BG63" s="20">
        <v>104.4542</v>
      </c>
      <c r="BH63" s="20">
        <v>10.596500000000001</v>
      </c>
      <c r="BI63" s="20">
        <v>10.144637554066758</v>
      </c>
      <c r="BJ63" s="20">
        <v>77.331600000000009</v>
      </c>
      <c r="BK63" s="20">
        <v>8.6820000000000004</v>
      </c>
      <c r="BL63" s="20">
        <v>11.226975777043277</v>
      </c>
      <c r="BM63" s="20">
        <v>45.090200000000003</v>
      </c>
      <c r="BN63" s="20">
        <v>3.9192</v>
      </c>
      <c r="BO63" s="20">
        <v>8.691910880856593</v>
      </c>
      <c r="BP63" s="20">
        <v>13.467600000000001</v>
      </c>
      <c r="BQ63" s="20">
        <v>13.5548</v>
      </c>
      <c r="BR63" s="59">
        <v>9.3424999999999994</v>
      </c>
      <c r="BS63" s="59">
        <v>12.259599999999999</v>
      </c>
      <c r="BT63" s="59">
        <v>4.1593999999999998</v>
      </c>
      <c r="BU63" s="59">
        <v>4.0889999999999995</v>
      </c>
      <c r="BV63" s="59">
        <v>9.6413000000000011</v>
      </c>
      <c r="BW63" s="88">
        <v>4.8978999999999999</v>
      </c>
      <c r="BX63" s="88">
        <v>3.8279999999999998</v>
      </c>
      <c r="BY63" s="88">
        <v>7.5286999999999997</v>
      </c>
      <c r="BZ63" s="88">
        <v>3.3774000000000002</v>
      </c>
      <c r="CA63" s="88">
        <v>2.6274000000000002</v>
      </c>
      <c r="CB63" s="88">
        <v>49.135100000000001</v>
      </c>
      <c r="CC63" s="88">
        <v>14.966999999999999</v>
      </c>
      <c r="CD63" s="88">
        <v>13.986499999999999</v>
      </c>
      <c r="CE63" s="88">
        <v>13.177</v>
      </c>
      <c r="CF63" s="59">
        <v>14.134</v>
      </c>
      <c r="CG63" s="59">
        <v>8.7685999999999993</v>
      </c>
      <c r="CH63" s="59">
        <v>15.1107</v>
      </c>
      <c r="CI63" s="59">
        <v>11.4682</v>
      </c>
      <c r="CJ63" s="59">
        <f>SUM(CJ61:CJ62)</f>
        <v>10.2781</v>
      </c>
      <c r="CK63" s="59">
        <v>26.095500000000001</v>
      </c>
      <c r="CL63" s="59">
        <v>313.07900000000001</v>
      </c>
      <c r="CM63" s="21">
        <f>SUM(CM61:CM62)</f>
        <v>24.665100000000002</v>
      </c>
      <c r="CN63" s="21">
        <f>SUM(CN61:CN62)</f>
        <v>10.7439</v>
      </c>
      <c r="CO63" s="21">
        <f>SUM(CO61:CO62)</f>
        <v>36.101999999999997</v>
      </c>
      <c r="CP63" s="21">
        <f>SUM(CP61:CP62)</f>
        <v>21.426099999999998</v>
      </c>
      <c r="CQ63" s="21">
        <f>SUM(CQ61:CQ62)</f>
        <v>35.212800000000001</v>
      </c>
    </row>
    <row r="64" spans="1:95" s="159" customFormat="1" ht="15.75" x14ac:dyDescent="0.25">
      <c r="A64" s="33" t="s">
        <v>107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>
        <v>0.80800000000000005</v>
      </c>
      <c r="BV64" s="64">
        <v>1.18</v>
      </c>
      <c r="BW64" s="96">
        <v>0.94530000000000003</v>
      </c>
      <c r="BX64" s="33">
        <v>0.70809999999999995</v>
      </c>
      <c r="BY64" s="117">
        <v>0.98299999999999998</v>
      </c>
      <c r="BZ64" s="33">
        <v>0.17810000000000001</v>
      </c>
      <c r="CA64" s="33">
        <v>0.17810000000000001</v>
      </c>
      <c r="CB64" s="33">
        <v>2.4500000000000002</v>
      </c>
      <c r="CC64" s="64">
        <v>0.15</v>
      </c>
      <c r="CD64" s="64">
        <v>0</v>
      </c>
      <c r="CE64" s="96">
        <v>3.16</v>
      </c>
      <c r="CF64" s="64">
        <v>8.16</v>
      </c>
      <c r="CG64" s="64">
        <v>8.16</v>
      </c>
      <c r="CH64" s="64">
        <v>9.36</v>
      </c>
      <c r="CI64" s="33">
        <v>16</v>
      </c>
      <c r="CJ64" s="153">
        <v>14.25</v>
      </c>
      <c r="CK64" s="153">
        <v>7.16</v>
      </c>
      <c r="CL64" s="153">
        <v>10.16</v>
      </c>
      <c r="CM64" s="153">
        <v>21</v>
      </c>
      <c r="CN64" s="153">
        <v>21</v>
      </c>
      <c r="CO64" s="153">
        <v>24.16</v>
      </c>
      <c r="CP64" s="153">
        <v>37.159999999999997</v>
      </c>
      <c r="CQ64" s="153">
        <v>30.16</v>
      </c>
    </row>
    <row r="65" spans="1:95" ht="15.75" x14ac:dyDescent="0.25">
      <c r="A65" s="21" t="s">
        <v>108</v>
      </c>
      <c r="B65" s="20"/>
      <c r="C65" s="20"/>
      <c r="D65" s="20"/>
      <c r="E65" s="20"/>
      <c r="F65" s="20"/>
      <c r="G65" s="20"/>
      <c r="H65" s="20"/>
      <c r="I65" s="20"/>
      <c r="J65" s="20"/>
      <c r="K65" s="20">
        <v>12.6411</v>
      </c>
      <c r="L65" s="20">
        <v>0</v>
      </c>
      <c r="M65" s="20">
        <v>0</v>
      </c>
      <c r="N65" s="20">
        <v>12.796200000000001</v>
      </c>
      <c r="O65" s="20">
        <v>0.70399999999999996</v>
      </c>
      <c r="P65" s="20">
        <v>5.50163329738516</v>
      </c>
      <c r="Q65" s="20">
        <v>8.7291000000000007</v>
      </c>
      <c r="R65" s="20">
        <v>0.70220000000000005</v>
      </c>
      <c r="S65" s="20">
        <v>8.0443573793403669</v>
      </c>
      <c r="T65" s="20">
        <v>38.904499999999999</v>
      </c>
      <c r="U65" s="20">
        <v>3.6534</v>
      </c>
      <c r="V65" s="20">
        <v>9.3906874526083115</v>
      </c>
      <c r="W65" s="20">
        <v>11.188700000000001</v>
      </c>
      <c r="X65" s="20">
        <v>1E-4</v>
      </c>
      <c r="Y65" s="20">
        <v>8.9375888172888709E-4</v>
      </c>
      <c r="Z65" s="20">
        <v>7.9644000000000004</v>
      </c>
      <c r="AA65" s="20">
        <v>0</v>
      </c>
      <c r="AB65" s="20">
        <v>0</v>
      </c>
      <c r="AC65" s="20">
        <v>80.765900000000002</v>
      </c>
      <c r="AD65" s="20">
        <v>14.9131</v>
      </c>
      <c r="AE65" s="20">
        <v>18.464599540152467</v>
      </c>
      <c r="AF65" s="20">
        <v>27.803699999999999</v>
      </c>
      <c r="AG65" s="20">
        <v>3.8098000000000001</v>
      </c>
      <c r="AH65" s="20">
        <v>13.702492833687604</v>
      </c>
      <c r="AI65" s="20">
        <v>31.152000000000001</v>
      </c>
      <c r="AJ65" s="20">
        <v>3.7881999999999998</v>
      </c>
      <c r="AK65" s="20">
        <v>12.160374935798664</v>
      </c>
      <c r="AL65" s="20">
        <v>99.072000000000003</v>
      </c>
      <c r="AM65" s="20">
        <v>22.150099999999998</v>
      </c>
      <c r="AN65" s="20">
        <v>22.357578326873384</v>
      </c>
      <c r="AO65" s="20">
        <v>104.304</v>
      </c>
      <c r="AP65" s="20">
        <v>22.150099999999998</v>
      </c>
      <c r="AQ65" s="20">
        <v>21.23609832796441</v>
      </c>
      <c r="AR65" s="20">
        <v>69.978700000000003</v>
      </c>
      <c r="AS65" s="20">
        <v>7.0000999999999998</v>
      </c>
      <c r="AT65" s="20">
        <v>10.003186683948115</v>
      </c>
      <c r="AU65" s="20">
        <v>55.093400000000003</v>
      </c>
      <c r="AV65" s="20">
        <v>6.2294</v>
      </c>
      <c r="AW65" s="20">
        <v>11.306980509462113</v>
      </c>
      <c r="AX65" s="20">
        <v>154.5977</v>
      </c>
      <c r="AY65" s="20">
        <v>38.458199999999998</v>
      </c>
      <c r="AZ65" s="20">
        <v>24.876307991645412</v>
      </c>
      <c r="BA65" s="20">
        <v>98.258499999999998</v>
      </c>
      <c r="BB65" s="20">
        <v>15.3096</v>
      </c>
      <c r="BC65" s="20">
        <v>15.580942106789744</v>
      </c>
      <c r="BD65" s="20">
        <v>71.481399999999994</v>
      </c>
      <c r="BE65" s="20">
        <v>11.7704</v>
      </c>
      <c r="BF65" s="20">
        <v>16.466381464269027</v>
      </c>
      <c r="BG65" s="20">
        <v>336.86970000000002</v>
      </c>
      <c r="BH65" s="20">
        <v>59.476700000000001</v>
      </c>
      <c r="BI65" s="20">
        <v>17.655698924539664</v>
      </c>
      <c r="BJ65" s="20">
        <v>184.9528</v>
      </c>
      <c r="BK65" s="20">
        <v>34.327599999999997</v>
      </c>
      <c r="BL65" s="20">
        <v>18.560194817272297</v>
      </c>
      <c r="BM65" s="20">
        <v>149.70160000000001</v>
      </c>
      <c r="BN65" s="20">
        <v>28.0443</v>
      </c>
      <c r="BO65" s="20">
        <v>18.733467110571965</v>
      </c>
      <c r="BP65" s="20">
        <v>57.685400000000001</v>
      </c>
      <c r="BQ65" s="20">
        <v>51.536499999999997</v>
      </c>
      <c r="BR65" s="59">
        <v>48.584499999999998</v>
      </c>
      <c r="BS65" s="59">
        <v>24.3811</v>
      </c>
      <c r="BT65" s="59">
        <v>18.82</v>
      </c>
      <c r="BU65" s="20">
        <v>17.261500000000002</v>
      </c>
      <c r="BV65" s="59">
        <v>24.9068</v>
      </c>
      <c r="BW65" s="104">
        <v>16.914999999999999</v>
      </c>
      <c r="BX65" s="21">
        <v>13.7027</v>
      </c>
      <c r="BY65" s="118">
        <v>21.5</v>
      </c>
      <c r="BZ65" s="21">
        <v>15.5</v>
      </c>
      <c r="CA65" s="21">
        <v>15.390599999999999</v>
      </c>
      <c r="CB65" s="21">
        <v>21.5</v>
      </c>
      <c r="CC65" s="20">
        <v>7.3</v>
      </c>
      <c r="CD65" s="20">
        <v>6.5206</v>
      </c>
      <c r="CE65" s="89">
        <v>8</v>
      </c>
      <c r="CF65" s="20">
        <v>38</v>
      </c>
      <c r="CG65" s="20">
        <v>34.182000000000002</v>
      </c>
      <c r="CH65" s="20">
        <v>42.5</v>
      </c>
      <c r="CI65" s="21">
        <v>41.1</v>
      </c>
      <c r="CJ65" s="21">
        <v>18.485499999999998</v>
      </c>
      <c r="CK65" s="21">
        <v>45</v>
      </c>
      <c r="CL65" s="21">
        <v>45</v>
      </c>
      <c r="CM65" s="21">
        <v>45</v>
      </c>
      <c r="CN65" s="21">
        <v>28.555099999999999</v>
      </c>
      <c r="CO65" s="21">
        <v>62</v>
      </c>
      <c r="CP65" s="21">
        <v>34.24</v>
      </c>
      <c r="CQ65" s="21">
        <v>82</v>
      </c>
    </row>
    <row r="66" spans="1:95" s="159" customFormat="1" ht="15.75" x14ac:dyDescent="0.25">
      <c r="A66" s="33" t="s">
        <v>109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>
        <v>0</v>
      </c>
      <c r="BU66" s="33">
        <v>0</v>
      </c>
      <c r="BV66" s="64">
        <v>0</v>
      </c>
      <c r="BW66" s="160">
        <v>0.45</v>
      </c>
      <c r="BX66" s="33">
        <v>0.45</v>
      </c>
      <c r="BY66" s="117">
        <v>2.6349999999999998</v>
      </c>
      <c r="BZ66" s="33">
        <v>2.6349999999999998</v>
      </c>
      <c r="CA66" s="33">
        <v>2.6349999999999998</v>
      </c>
      <c r="CB66" s="33">
        <v>2.6349999999999998</v>
      </c>
      <c r="CC66" s="64">
        <v>2.6349999999999998</v>
      </c>
      <c r="CD66" s="64">
        <v>2.6349999999999998</v>
      </c>
      <c r="CE66" s="96">
        <v>2.5499999999999998</v>
      </c>
      <c r="CF66" s="64">
        <v>2.5499999999999998</v>
      </c>
      <c r="CG66" s="64">
        <v>2.5499999999999998</v>
      </c>
      <c r="CH66" s="64">
        <v>2.5499999999999998</v>
      </c>
      <c r="CI66" s="33">
        <v>2.6859999999999999</v>
      </c>
      <c r="CJ66" s="153">
        <v>2.6859999999999999</v>
      </c>
      <c r="CK66" s="153">
        <v>2.5499999999999998</v>
      </c>
      <c r="CL66" s="153">
        <v>2.5499999999999998</v>
      </c>
      <c r="CM66" s="153">
        <v>0.255</v>
      </c>
      <c r="CN66" s="153">
        <v>0.255</v>
      </c>
      <c r="CO66" s="153">
        <v>2.5499999999999998</v>
      </c>
      <c r="CP66" s="153">
        <v>1.75</v>
      </c>
      <c r="CQ66" s="153">
        <v>1.75</v>
      </c>
    </row>
    <row r="67" spans="1:95" ht="15.75" x14ac:dyDescent="0.25">
      <c r="A67" s="21" t="s">
        <v>110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>
        <v>0</v>
      </c>
      <c r="AA67" s="20">
        <v>0</v>
      </c>
      <c r="AB67" s="20">
        <v>0</v>
      </c>
      <c r="AC67" s="20"/>
      <c r="AD67" s="20"/>
      <c r="AE67" s="20"/>
      <c r="AF67" s="20">
        <v>0</v>
      </c>
      <c r="AG67" s="20">
        <v>0</v>
      </c>
      <c r="AH67" s="20">
        <v>0</v>
      </c>
      <c r="AI67" s="20">
        <v>2.8216000000000001</v>
      </c>
      <c r="AJ67" s="20">
        <v>0</v>
      </c>
      <c r="AK67" s="20">
        <v>0</v>
      </c>
      <c r="AL67" s="20">
        <v>5.766</v>
      </c>
      <c r="AM67" s="20">
        <v>1.1218999999999999</v>
      </c>
      <c r="AN67" s="20">
        <v>19.457162677766213</v>
      </c>
      <c r="AO67" s="20">
        <v>5.766</v>
      </c>
      <c r="AP67" s="20">
        <v>1.1218999999999999</v>
      </c>
      <c r="AQ67" s="20">
        <v>19.457162677766213</v>
      </c>
      <c r="AR67" s="20">
        <v>3.6511999999999998</v>
      </c>
      <c r="AS67" s="20">
        <v>0.54339999999999999</v>
      </c>
      <c r="AT67" s="20">
        <v>14.882778264680105</v>
      </c>
      <c r="AU67" s="20">
        <v>2.8469000000000002</v>
      </c>
      <c r="AV67" s="20">
        <v>0</v>
      </c>
      <c r="AW67" s="20">
        <v>0</v>
      </c>
      <c r="AX67" s="20">
        <v>3.5827</v>
      </c>
      <c r="AY67" s="20">
        <v>1E-4</v>
      </c>
      <c r="AZ67" s="20">
        <v>2.791191001200212E-3</v>
      </c>
      <c r="BA67" s="20">
        <v>2.1867999999999999</v>
      </c>
      <c r="BB67" s="20">
        <v>0.18090000000000001</v>
      </c>
      <c r="BC67" s="20">
        <v>8.2723614413755264</v>
      </c>
      <c r="BD67" s="20">
        <v>1.4607000000000001</v>
      </c>
      <c r="BE67" s="20">
        <v>0</v>
      </c>
      <c r="BF67" s="20">
        <v>0</v>
      </c>
      <c r="BG67" s="20">
        <v>6.6012000000000004</v>
      </c>
      <c r="BH67" s="20">
        <v>1E-4</v>
      </c>
      <c r="BI67" s="20">
        <v>1.5148760831363995E-3</v>
      </c>
      <c r="BJ67" s="20">
        <v>3.2143999999999999</v>
      </c>
      <c r="BK67" s="20">
        <v>0</v>
      </c>
      <c r="BL67" s="20">
        <v>0</v>
      </c>
      <c r="BM67" s="20">
        <v>1.931</v>
      </c>
      <c r="BN67" s="20">
        <v>0</v>
      </c>
      <c r="BO67" s="20">
        <v>0</v>
      </c>
      <c r="BP67" s="20">
        <v>0</v>
      </c>
      <c r="BQ67" s="20">
        <v>0</v>
      </c>
      <c r="BR67" s="59">
        <v>0</v>
      </c>
      <c r="BS67" s="59">
        <v>0</v>
      </c>
      <c r="BT67" s="59">
        <v>0</v>
      </c>
      <c r="BU67" s="21">
        <v>0</v>
      </c>
      <c r="BV67" s="59">
        <v>1E-4</v>
      </c>
      <c r="BW67" s="89">
        <v>9.01E-2</v>
      </c>
      <c r="BX67" s="21">
        <v>0.09</v>
      </c>
      <c r="BY67" s="111">
        <v>9.0200000000000002E-2</v>
      </c>
      <c r="BZ67" s="21">
        <v>0.09</v>
      </c>
      <c r="CA67" s="21">
        <v>0.09</v>
      </c>
      <c r="CB67" s="21">
        <v>9.0200000000000002E-2</v>
      </c>
      <c r="CC67" s="20">
        <v>0.9</v>
      </c>
      <c r="CD67" s="20">
        <v>0.09</v>
      </c>
      <c r="CE67" s="89">
        <v>9.0200000000000002E-2</v>
      </c>
      <c r="CF67" s="20">
        <v>0.09</v>
      </c>
      <c r="CG67" s="20">
        <v>0.09</v>
      </c>
      <c r="CH67" s="20">
        <v>9.0200000000000002E-2</v>
      </c>
      <c r="CI67" s="21">
        <v>0.09</v>
      </c>
      <c r="CJ67" s="21">
        <v>0.09</v>
      </c>
      <c r="CK67" s="21">
        <v>9.0200000000000002E-2</v>
      </c>
      <c r="CL67" s="21">
        <v>9.0200000000000002E-2</v>
      </c>
      <c r="CM67" s="21">
        <v>1E-4</v>
      </c>
      <c r="CN67" s="21">
        <v>0</v>
      </c>
      <c r="CO67" s="21">
        <v>9.0200000000000002E-2</v>
      </c>
      <c r="CP67" s="21">
        <v>9.01E-2</v>
      </c>
      <c r="CQ67" s="21">
        <v>9.0300000000000005E-2</v>
      </c>
    </row>
    <row r="68" spans="1:95" ht="15.75" x14ac:dyDescent="0.25">
      <c r="A68" s="26" t="s">
        <v>111</v>
      </c>
      <c r="B68" s="27">
        <v>4432.6716999999999</v>
      </c>
      <c r="C68" s="27">
        <v>172.48849999999999</v>
      </c>
      <c r="D68" s="27">
        <v>3.8912987848840701</v>
      </c>
      <c r="E68" s="27">
        <v>5878.6271999999999</v>
      </c>
      <c r="F68" s="27">
        <v>285.21039999999999</v>
      </c>
      <c r="G68" s="27">
        <v>4.8516497184920997</v>
      </c>
      <c r="H68" s="27">
        <v>5749.1259</v>
      </c>
      <c r="I68" s="27">
        <v>255.5446</v>
      </c>
      <c r="J68" s="27">
        <v>4.4449296196487884</v>
      </c>
      <c r="K68" s="27">
        <v>7289.0126</v>
      </c>
      <c r="L68" s="27">
        <v>362.14540000000005</v>
      </c>
      <c r="M68" s="27">
        <v>4.9683739056782539</v>
      </c>
      <c r="N68" s="27">
        <v>11797.898700000002</v>
      </c>
      <c r="O68" s="27">
        <v>947.09719999999993</v>
      </c>
      <c r="P68" s="27">
        <v>8.0276769964129269</v>
      </c>
      <c r="Q68" s="27">
        <v>8097.2355000000007</v>
      </c>
      <c r="R68" s="27">
        <v>796.68489999999986</v>
      </c>
      <c r="S68" s="27">
        <v>9.8389740547869664</v>
      </c>
      <c r="T68" s="27">
        <v>12701.898299999999</v>
      </c>
      <c r="U68" s="27">
        <v>1049.1770000000001</v>
      </c>
      <c r="V68" s="27">
        <v>8.2600015778743892</v>
      </c>
      <c r="W68" s="27">
        <v>12320.5594</v>
      </c>
      <c r="X68" s="27">
        <v>1161.5451</v>
      </c>
      <c r="Y68" s="27">
        <v>9.4276977391140218</v>
      </c>
      <c r="Z68" s="27">
        <v>10048.8359</v>
      </c>
      <c r="AA68" s="27">
        <v>1034.3774000000001</v>
      </c>
      <c r="AB68" s="27">
        <v>10.293504743171297</v>
      </c>
      <c r="AC68" s="27">
        <v>14727.231900000001</v>
      </c>
      <c r="AD68" s="27">
        <v>1479.8837999999998</v>
      </c>
      <c r="AE68" s="27">
        <v>10.048621560715695</v>
      </c>
      <c r="AF68" s="27">
        <v>18607.269400000001</v>
      </c>
      <c r="AG68" s="27">
        <v>1617.9733000000001</v>
      </c>
      <c r="AH68" s="27">
        <v>8.6953827841069469</v>
      </c>
      <c r="AI68" s="27">
        <v>13751.721700000002</v>
      </c>
      <c r="AJ68" s="27">
        <v>1379.1070000000002</v>
      </c>
      <c r="AK68" s="27">
        <v>10.028613362645348</v>
      </c>
      <c r="AL68" s="27">
        <v>23192.497800000001</v>
      </c>
      <c r="AM68" s="27">
        <v>2248.8272000000002</v>
      </c>
      <c r="AN68" s="27">
        <v>9.6963562070489875</v>
      </c>
      <c r="AO68" s="27">
        <v>25388.9107</v>
      </c>
      <c r="AP68" s="27">
        <v>2587.8339999999998</v>
      </c>
      <c r="AQ68" s="27">
        <v>10.1927728628389</v>
      </c>
      <c r="AR68" s="27">
        <v>21344.44802</v>
      </c>
      <c r="AS68" s="27">
        <v>2354.5407000000005</v>
      </c>
      <c r="AT68" s="27">
        <v>11.031162285357617</v>
      </c>
      <c r="AU68" s="27">
        <v>18752.770299999996</v>
      </c>
      <c r="AV68" s="27">
        <v>1998.8561100000002</v>
      </c>
      <c r="AW68" s="27">
        <v>10.658991061176708</v>
      </c>
      <c r="AX68" s="27">
        <v>25890.635600000001</v>
      </c>
      <c r="AY68" s="27">
        <v>2794.9132</v>
      </c>
      <c r="AZ68" s="27">
        <v>10.795073721558229</v>
      </c>
      <c r="BA68" s="27">
        <v>21736.8128</v>
      </c>
      <c r="BB68" s="27">
        <v>2482.8391999999999</v>
      </c>
      <c r="BC68" s="27">
        <v>11.422278062771005</v>
      </c>
      <c r="BD68" s="27">
        <v>20534.904600000002</v>
      </c>
      <c r="BE68" s="27">
        <v>2218.8580999999999</v>
      </c>
      <c r="BF68" s="27">
        <v>10.805300259344763</v>
      </c>
      <c r="BG68" s="27">
        <v>30800.731</v>
      </c>
      <c r="BH68" s="27">
        <v>3556.0761999999995</v>
      </c>
      <c r="BI68" s="27">
        <v>11.545427931564351</v>
      </c>
      <c r="BJ68" s="27">
        <v>30919.706299999998</v>
      </c>
      <c r="BK68" s="27">
        <v>2892.3362000000002</v>
      </c>
      <c r="BL68" s="27">
        <v>9.3543456459028533</v>
      </c>
      <c r="BM68" s="27">
        <v>30777.736499999999</v>
      </c>
      <c r="BN68" s="27">
        <v>2773.3796999999995</v>
      </c>
      <c r="BO68" s="27">
        <v>9.0109930598697527</v>
      </c>
      <c r="BP68" s="152">
        <f t="shared" ref="BP68:CQ68" si="0">BP67+BP66+BP65+BP64+BP63+BP60+BP57+BP54+BP51+BP48+BP43+BP34+BP31+BP21</f>
        <v>3970.8466999999996</v>
      </c>
      <c r="BQ68" s="152">
        <f t="shared" si="0"/>
        <v>3784.4917</v>
      </c>
      <c r="BR68" s="152">
        <f t="shared" si="0"/>
        <v>3523.6347999999998</v>
      </c>
      <c r="BS68" s="152">
        <f t="shared" si="0"/>
        <v>4468.2520000000004</v>
      </c>
      <c r="BT68" s="152">
        <f t="shared" si="0"/>
        <v>4370.1674999999996</v>
      </c>
      <c r="BU68" s="152">
        <f t="shared" si="0"/>
        <v>3937.4263000000001</v>
      </c>
      <c r="BV68" s="152">
        <f t="shared" si="0"/>
        <v>5417.2754000000004</v>
      </c>
      <c r="BW68" s="152">
        <f t="shared" si="0"/>
        <v>4742.8661000000002</v>
      </c>
      <c r="BX68" s="152">
        <f t="shared" si="0"/>
        <v>4165.8989000000001</v>
      </c>
      <c r="BY68" s="152">
        <f t="shared" si="0"/>
        <v>5444.4072999999999</v>
      </c>
      <c r="BZ68" s="152">
        <f t="shared" si="0"/>
        <v>5097.4051999999992</v>
      </c>
      <c r="CA68" s="152">
        <f t="shared" si="0"/>
        <v>4537.0571</v>
      </c>
      <c r="CB68" s="152">
        <f t="shared" si="0"/>
        <v>6076.0102000000006</v>
      </c>
      <c r="CC68" s="152">
        <f t="shared" si="0"/>
        <v>5942.6019000000006</v>
      </c>
      <c r="CD68" s="152">
        <f t="shared" si="0"/>
        <v>5177.6179999999995</v>
      </c>
      <c r="CE68" s="152">
        <f t="shared" si="0"/>
        <v>7934.5861999999997</v>
      </c>
      <c r="CF68" s="152">
        <f t="shared" si="0"/>
        <v>7615.8901999999989</v>
      </c>
      <c r="CG68" s="152">
        <f t="shared" si="0"/>
        <v>5999.0907000000007</v>
      </c>
      <c r="CH68" s="152">
        <f t="shared" si="0"/>
        <v>9592.5675999999985</v>
      </c>
      <c r="CI68" s="152">
        <f t="shared" si="0"/>
        <v>9619.9131999999991</v>
      </c>
      <c r="CJ68" s="152">
        <f t="shared" si="0"/>
        <v>7880.4743999999992</v>
      </c>
      <c r="CK68" s="152">
        <f t="shared" si="0"/>
        <v>11125.6396</v>
      </c>
      <c r="CL68" s="152">
        <f t="shared" si="0"/>
        <v>11510.872299999999</v>
      </c>
      <c r="CM68" s="152">
        <f t="shared" si="0"/>
        <v>11094.049300000001</v>
      </c>
      <c r="CN68" s="176">
        <f t="shared" si="0"/>
        <v>9094.2314000000006</v>
      </c>
      <c r="CO68" s="176">
        <f t="shared" si="0"/>
        <v>12717.8914</v>
      </c>
      <c r="CP68" s="176">
        <f t="shared" si="0"/>
        <v>11277.0987</v>
      </c>
      <c r="CQ68" s="176">
        <f t="shared" si="0"/>
        <v>14115.848000000002</v>
      </c>
    </row>
    <row r="69" spans="1:95" ht="15.75" x14ac:dyDescent="0.25">
      <c r="A69" s="28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174"/>
      <c r="CO69" s="174"/>
      <c r="CP69" s="171"/>
      <c r="CQ69" s="171"/>
    </row>
    <row r="70" spans="1:95" ht="15.75" x14ac:dyDescent="0.25">
      <c r="A70" s="29" t="s">
        <v>112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6"/>
      <c r="R70" s="6"/>
      <c r="S70" s="6"/>
      <c r="T70" s="25"/>
      <c r="U70" s="25"/>
      <c r="V70" s="25"/>
      <c r="W70" s="6"/>
      <c r="X70" s="6"/>
      <c r="Y70" s="6"/>
      <c r="Z70" s="25"/>
      <c r="AA70" s="25"/>
      <c r="AB70" s="25"/>
      <c r="AC70" s="6"/>
      <c r="AD70" s="6"/>
      <c r="AE70" s="6"/>
      <c r="AF70" s="6"/>
      <c r="AG70" s="6"/>
      <c r="AH70" s="6"/>
      <c r="AI70" s="6"/>
      <c r="AJ70" s="6"/>
      <c r="AK70" s="15"/>
      <c r="AL70" s="6"/>
      <c r="AM70" s="6"/>
      <c r="AN70" s="6"/>
      <c r="AO70" s="25"/>
      <c r="AP70" s="25"/>
      <c r="AQ70" s="25"/>
      <c r="AR70" s="6"/>
      <c r="AS70" s="6"/>
      <c r="AT70" s="15"/>
      <c r="AU70" s="25"/>
      <c r="AV70" s="25"/>
      <c r="AW70" s="25"/>
      <c r="AX70" s="6"/>
      <c r="AY70" s="6"/>
      <c r="AZ70" s="15"/>
      <c r="BA70" s="25"/>
      <c r="BB70" s="25"/>
      <c r="BC70" s="25"/>
      <c r="BD70" s="25"/>
      <c r="BE70" s="25"/>
      <c r="BF70" s="80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56"/>
      <c r="BS70" s="68"/>
      <c r="BT70" s="54"/>
      <c r="BU70" s="6"/>
      <c r="BV70" s="54"/>
      <c r="BW70" s="72"/>
      <c r="BX70" s="6"/>
      <c r="BY70" s="83"/>
      <c r="BZ70" s="6"/>
      <c r="CA70" s="6"/>
      <c r="CB70" s="6"/>
      <c r="CC70" s="25"/>
      <c r="CD70" s="25"/>
      <c r="CE70" s="80"/>
      <c r="CF70" s="25"/>
      <c r="CG70" s="25"/>
      <c r="CH70" s="25"/>
      <c r="CI70" s="6"/>
      <c r="CJ70" s="6"/>
      <c r="CK70" s="25"/>
      <c r="CL70" s="6"/>
      <c r="CM70" s="6"/>
      <c r="CN70" s="6"/>
      <c r="CO70" s="6"/>
      <c r="CP70" s="171"/>
      <c r="CQ70" s="171"/>
    </row>
    <row r="71" spans="1:95" ht="15.75" x14ac:dyDescent="0.25">
      <c r="A71" s="28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6"/>
      <c r="R71" s="6"/>
      <c r="S71" s="6"/>
      <c r="T71" s="25"/>
      <c r="U71" s="25"/>
      <c r="V71" s="25"/>
      <c r="W71" s="6"/>
      <c r="X71" s="6"/>
      <c r="Y71" s="6"/>
      <c r="Z71" s="25"/>
      <c r="AA71" s="25"/>
      <c r="AB71" s="25"/>
      <c r="AC71" s="6"/>
      <c r="AD71" s="6"/>
      <c r="AE71" s="6"/>
      <c r="AF71" s="25"/>
      <c r="AG71" s="25"/>
      <c r="AH71" s="25"/>
      <c r="AI71" s="6"/>
      <c r="AJ71" s="6"/>
      <c r="AK71" s="15"/>
      <c r="AL71" s="25"/>
      <c r="AM71" s="25"/>
      <c r="AN71" s="25"/>
      <c r="AO71" s="25"/>
      <c r="AP71" s="25"/>
      <c r="AQ71" s="25"/>
      <c r="AR71" s="6"/>
      <c r="AS71" s="6"/>
      <c r="AT71" s="15"/>
      <c r="AU71" s="25"/>
      <c r="AV71" s="25"/>
      <c r="AW71" s="25"/>
      <c r="AX71" s="6"/>
      <c r="AY71" s="6"/>
      <c r="AZ71" s="15"/>
      <c r="BA71" s="25"/>
      <c r="BB71" s="25"/>
      <c r="BC71" s="25"/>
      <c r="BD71" s="25"/>
      <c r="BE71" s="25"/>
      <c r="BF71" s="80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56"/>
      <c r="BS71" s="68"/>
      <c r="BT71" s="54"/>
      <c r="BU71" s="6"/>
      <c r="BV71" s="54"/>
      <c r="BW71" s="72"/>
      <c r="BX71" s="6"/>
      <c r="BY71" s="83"/>
      <c r="BZ71" s="6"/>
      <c r="CA71" s="6"/>
      <c r="CB71" s="6"/>
      <c r="CC71" s="25"/>
      <c r="CD71" s="25"/>
      <c r="CE71" s="80"/>
      <c r="CF71" s="25"/>
      <c r="CG71" s="25"/>
      <c r="CH71" s="25"/>
      <c r="CI71" s="6"/>
      <c r="CJ71" s="6"/>
      <c r="CK71" s="6"/>
      <c r="CL71" s="6"/>
      <c r="CM71" s="6"/>
      <c r="CN71" s="6"/>
      <c r="CO71" s="6"/>
      <c r="CP71" s="171"/>
      <c r="CQ71" s="171"/>
    </row>
    <row r="72" spans="1:95" ht="15.75" x14ac:dyDescent="0.25">
      <c r="A72" s="16" t="s">
        <v>113</v>
      </c>
      <c r="B72" s="12">
        <v>282.5052</v>
      </c>
      <c r="C72" s="12">
        <v>24.759799999999998</v>
      </c>
      <c r="D72" s="12">
        <v>8.7643696470011871</v>
      </c>
      <c r="E72" s="12">
        <v>349.17930000000001</v>
      </c>
      <c r="F72" s="12">
        <v>19.821000000000002</v>
      </c>
      <c r="G72" s="12">
        <v>5.6764533292781101</v>
      </c>
      <c r="H72" s="12">
        <v>415.21179999999998</v>
      </c>
      <c r="I72" s="12">
        <v>37.180700000000002</v>
      </c>
      <c r="J72" s="12">
        <v>8.9546347189554822</v>
      </c>
      <c r="K72" s="12">
        <v>1516.5661</v>
      </c>
      <c r="L72" s="12">
        <v>235.12459999999999</v>
      </c>
      <c r="M72" s="162">
        <v>15.50374889693235</v>
      </c>
      <c r="N72" s="12">
        <v>1286.4595999999999</v>
      </c>
      <c r="O72" s="12">
        <v>110.2962</v>
      </c>
      <c r="P72" s="12">
        <v>8.5736232991692862</v>
      </c>
      <c r="Q72" s="12">
        <v>1211.7499</v>
      </c>
      <c r="R72" s="12">
        <v>112.31270000000001</v>
      </c>
      <c r="S72" s="12">
        <v>9.26863703475445</v>
      </c>
      <c r="T72" s="12">
        <v>1233.6117999999999</v>
      </c>
      <c r="U72" s="12">
        <v>107.57340000000001</v>
      </c>
      <c r="V72" s="12">
        <v>8.7201986881124203</v>
      </c>
      <c r="W72" s="12">
        <v>1416.6817000000001</v>
      </c>
      <c r="X72" s="12">
        <v>164.5882</v>
      </c>
      <c r="Y72" s="12">
        <v>11.617867302161098</v>
      </c>
      <c r="Z72" s="12">
        <v>1243.9304</v>
      </c>
      <c r="AA72" s="12">
        <v>135.77160000000001</v>
      </c>
      <c r="AB72" s="12">
        <v>10.914726418777128</v>
      </c>
      <c r="AC72" s="12">
        <v>1297.3461</v>
      </c>
      <c r="AD72" s="12">
        <v>218.13300000000001</v>
      </c>
      <c r="AE72" s="12">
        <v>16.813786236379023</v>
      </c>
      <c r="AF72" s="12">
        <v>1307.5724</v>
      </c>
      <c r="AG72" s="12">
        <v>228.8357</v>
      </c>
      <c r="AH72" s="12">
        <v>17.500805309136229</v>
      </c>
      <c r="AI72" s="12">
        <v>1202.4364</v>
      </c>
      <c r="AJ72" s="12">
        <v>203.66209999999998</v>
      </c>
      <c r="AK72" s="12">
        <v>16.937452991276707</v>
      </c>
      <c r="AL72" s="12">
        <v>2128.8616000000002</v>
      </c>
      <c r="AM72" s="12">
        <v>332.50029999999998</v>
      </c>
      <c r="AN72" s="12">
        <v>15.61869028968346</v>
      </c>
      <c r="AO72" s="12">
        <v>2016.3897999999999</v>
      </c>
      <c r="AP72" s="12">
        <v>286.68529999999998</v>
      </c>
      <c r="AQ72" s="12">
        <v>14.217751944589285</v>
      </c>
      <c r="AR72" s="12">
        <v>1923.0262</v>
      </c>
      <c r="AS72" s="13">
        <v>285.09800000000001</v>
      </c>
      <c r="AT72" s="12">
        <v>14.82548703704609</v>
      </c>
      <c r="AU72" s="12">
        <v>1499.9653000000001</v>
      </c>
      <c r="AV72" s="12">
        <v>211.35720000000001</v>
      </c>
      <c r="AW72" s="12">
        <v>14.090805967311375</v>
      </c>
      <c r="AX72" s="12">
        <v>1931.2201</v>
      </c>
      <c r="AY72" s="12">
        <v>266.21300000000002</v>
      </c>
      <c r="AZ72" s="12">
        <v>13.784705326958848</v>
      </c>
      <c r="BA72" s="12">
        <v>1900.1891000000001</v>
      </c>
      <c r="BB72" s="12">
        <v>233.48589999999999</v>
      </c>
      <c r="BC72" s="12">
        <v>12.287508648481353</v>
      </c>
      <c r="BD72" s="12">
        <v>1421.9983999999999</v>
      </c>
      <c r="BE72" s="12">
        <v>179.90029999999999</v>
      </c>
      <c r="BF72" s="12">
        <v>12.65123083120206</v>
      </c>
      <c r="BG72" s="12">
        <v>2908.6543999999999</v>
      </c>
      <c r="BH72" s="12">
        <v>485.97879999999998</v>
      </c>
      <c r="BI72" s="12">
        <v>16.708028289644862</v>
      </c>
      <c r="BJ72" s="12">
        <v>2612.1316999999999</v>
      </c>
      <c r="BK72" s="12">
        <v>404.99930000000001</v>
      </c>
      <c r="BL72" s="12">
        <v>15.504551321053222</v>
      </c>
      <c r="BM72" s="12">
        <v>2314.6424000000002</v>
      </c>
      <c r="BN72" s="12">
        <v>356.45519999999999</v>
      </c>
      <c r="BO72" s="12">
        <v>15.400011682150122</v>
      </c>
      <c r="BP72" s="12">
        <v>387.16129999999998</v>
      </c>
      <c r="BQ72" s="12">
        <v>294.00900000000001</v>
      </c>
      <c r="BR72" s="57">
        <v>244.3955</v>
      </c>
      <c r="BS72" s="57">
        <v>341.53039999999999</v>
      </c>
      <c r="BT72" s="57">
        <v>261.88319999999999</v>
      </c>
      <c r="BU72" s="12">
        <v>219.80079999999998</v>
      </c>
      <c r="BV72" s="57">
        <v>323.04670000000004</v>
      </c>
      <c r="BW72" s="81">
        <v>297.22649999999999</v>
      </c>
      <c r="BX72" s="13">
        <v>259.15210000000002</v>
      </c>
      <c r="BY72" s="109">
        <v>424.29190000000006</v>
      </c>
      <c r="BZ72" s="13">
        <v>547.19839999999999</v>
      </c>
      <c r="CA72" s="13">
        <v>544.57040000000006</v>
      </c>
      <c r="CB72" s="13">
        <v>406.37330000000003</v>
      </c>
      <c r="CC72" s="12">
        <v>638.58730000000003</v>
      </c>
      <c r="CD72" s="12">
        <v>592.91419999999994</v>
      </c>
      <c r="CE72" s="81">
        <v>683.78430000000003</v>
      </c>
      <c r="CF72" s="12">
        <v>609.12239999999997</v>
      </c>
      <c r="CG72" s="12">
        <v>492.11430000000001</v>
      </c>
      <c r="CH72" s="12">
        <v>654.15800000000002</v>
      </c>
      <c r="CI72" s="13">
        <v>554.54369999999994</v>
      </c>
      <c r="CJ72" s="13">
        <f>443.8675+38.2016</f>
        <v>482.06909999999999</v>
      </c>
      <c r="CK72" s="13">
        <v>615.65260000000001</v>
      </c>
      <c r="CL72" s="13">
        <v>625.34490000000005</v>
      </c>
      <c r="CM72" s="13">
        <f>496.2643+89.2408</f>
        <v>585.50509999999997</v>
      </c>
      <c r="CN72" s="13">
        <f>357.2576+43.4201</f>
        <v>400.67770000000002</v>
      </c>
      <c r="CO72" s="13">
        <f>565.3813+107.7842</f>
        <v>673.16550000000007</v>
      </c>
      <c r="CP72" s="13">
        <f>431.5541+104.4615</f>
        <v>536.01559999999995</v>
      </c>
      <c r="CQ72" s="13">
        <f>575.1801+130.7932</f>
        <v>705.97330000000011</v>
      </c>
    </row>
    <row r="73" spans="1:95" ht="15.75" x14ac:dyDescent="0.25">
      <c r="A73" s="16" t="s">
        <v>114</v>
      </c>
      <c r="B73" s="12">
        <v>3.7488999999999999</v>
      </c>
      <c r="C73" s="12">
        <v>0</v>
      </c>
      <c r="D73" s="12">
        <v>0</v>
      </c>
      <c r="E73" s="12">
        <v>44.9499</v>
      </c>
      <c r="F73" s="12">
        <v>0</v>
      </c>
      <c r="G73" s="12">
        <v>0</v>
      </c>
      <c r="H73" s="12">
        <v>26.128900000000002</v>
      </c>
      <c r="I73" s="12">
        <v>0</v>
      </c>
      <c r="J73" s="12">
        <v>0</v>
      </c>
      <c r="K73" s="12">
        <v>105.8385</v>
      </c>
      <c r="L73" s="12">
        <v>0</v>
      </c>
      <c r="M73" s="162">
        <v>0</v>
      </c>
      <c r="N73" s="12">
        <v>119.9913</v>
      </c>
      <c r="O73" s="12">
        <v>0</v>
      </c>
      <c r="P73" s="12">
        <v>0</v>
      </c>
      <c r="Q73" s="12">
        <v>85.576899999999995</v>
      </c>
      <c r="R73" s="12">
        <v>0</v>
      </c>
      <c r="S73" s="12">
        <v>0</v>
      </c>
      <c r="T73" s="12">
        <v>109.98609999999999</v>
      </c>
      <c r="U73" s="12">
        <v>0</v>
      </c>
      <c r="V73" s="12">
        <v>0</v>
      </c>
      <c r="W73" s="12">
        <v>89.785899999999998</v>
      </c>
      <c r="X73" s="12">
        <v>2.0000000000000001E-4</v>
      </c>
      <c r="Y73" s="12">
        <v>2.2275212477683025E-4</v>
      </c>
      <c r="Z73" s="12">
        <v>86.032700000000006</v>
      </c>
      <c r="AA73" s="12">
        <v>0</v>
      </c>
      <c r="AB73" s="12">
        <v>0</v>
      </c>
      <c r="AC73" s="12">
        <v>173.46039999999999</v>
      </c>
      <c r="AD73" s="12">
        <v>32.651800000000001</v>
      </c>
      <c r="AE73" s="12">
        <v>18.823777646079453</v>
      </c>
      <c r="AF73" s="12">
        <v>103.32</v>
      </c>
      <c r="AG73" s="12">
        <v>16.3674</v>
      </c>
      <c r="AH73" s="12">
        <v>15.841463414634147</v>
      </c>
      <c r="AI73" s="12">
        <v>97.720500000000001</v>
      </c>
      <c r="AJ73" s="12">
        <v>15.8834</v>
      </c>
      <c r="AK73" s="12">
        <v>16.253907828961172</v>
      </c>
      <c r="AL73" s="12">
        <v>390.75060000000002</v>
      </c>
      <c r="AM73" s="12">
        <v>67.849999999999994</v>
      </c>
      <c r="AN73" s="12">
        <v>17.364016843480211</v>
      </c>
      <c r="AO73" s="12">
        <v>394.53059999999999</v>
      </c>
      <c r="AP73" s="12">
        <v>67.849999999999994</v>
      </c>
      <c r="AQ73" s="12">
        <v>17.197652095933748</v>
      </c>
      <c r="AR73" s="12">
        <v>326.7595</v>
      </c>
      <c r="AS73" s="12">
        <v>57.92</v>
      </c>
      <c r="AT73" s="12">
        <v>17.72557492590116</v>
      </c>
      <c r="AU73" s="12">
        <v>299.10390000000001</v>
      </c>
      <c r="AV73" s="12">
        <v>49.005200000000002</v>
      </c>
      <c r="AW73" s="12">
        <v>16.384005691667678</v>
      </c>
      <c r="AX73" s="12">
        <v>243.15119999999999</v>
      </c>
      <c r="AY73" s="12">
        <v>38.35</v>
      </c>
      <c r="AZ73" s="12">
        <v>15.772079265905331</v>
      </c>
      <c r="BA73" s="12">
        <v>253.04929999999999</v>
      </c>
      <c r="BB73" s="12">
        <v>38.101199999999999</v>
      </c>
      <c r="BC73" s="12">
        <v>15.056828847185114</v>
      </c>
      <c r="BD73" s="12">
        <v>179.9546</v>
      </c>
      <c r="BE73" s="12">
        <v>26.727599999999999</v>
      </c>
      <c r="BF73" s="12">
        <v>14.852412775222195</v>
      </c>
      <c r="BG73" s="12">
        <v>534.51880000000006</v>
      </c>
      <c r="BH73" s="12">
        <v>44.85</v>
      </c>
      <c r="BI73" s="12">
        <v>8.3907245170796596</v>
      </c>
      <c r="BJ73" s="12">
        <v>263.57530000000003</v>
      </c>
      <c r="BK73" s="12">
        <v>33.905500000000004</v>
      </c>
      <c r="BL73" s="12">
        <v>12.863686392465453</v>
      </c>
      <c r="BM73" s="12">
        <v>253.73220000000001</v>
      </c>
      <c r="BN73" s="12">
        <v>31.266500000000001</v>
      </c>
      <c r="BO73" s="12">
        <v>12.322637804740587</v>
      </c>
      <c r="BP73" s="12">
        <v>34.702800000000003</v>
      </c>
      <c r="BQ73" s="12">
        <v>30.667400000000001</v>
      </c>
      <c r="BR73" s="57">
        <v>27.957799999999999</v>
      </c>
      <c r="BS73" s="57">
        <v>66.170900000000003</v>
      </c>
      <c r="BT73" s="57">
        <v>29.1648</v>
      </c>
      <c r="BU73" s="12">
        <v>27.253599999999999</v>
      </c>
      <c r="BV73" s="57">
        <v>33.026600000000002</v>
      </c>
      <c r="BW73" s="81">
        <v>25.483699999999999</v>
      </c>
      <c r="BX73" s="13">
        <v>19.142800000000001</v>
      </c>
      <c r="BY73" s="109">
        <v>28.096699999999998</v>
      </c>
      <c r="BZ73" s="13">
        <v>33.0779</v>
      </c>
      <c r="CA73" s="13">
        <v>30.128999999999998</v>
      </c>
      <c r="CB73" s="13">
        <v>32.01</v>
      </c>
      <c r="CC73" s="12">
        <v>31.485500000000002</v>
      </c>
      <c r="CD73" s="12">
        <v>19.637300000000003</v>
      </c>
      <c r="CE73" s="81">
        <v>33.460099999999997</v>
      </c>
      <c r="CF73" s="12">
        <v>17.380099999999999</v>
      </c>
      <c r="CG73" s="12">
        <v>8.5134000000000007</v>
      </c>
      <c r="CH73" s="12">
        <v>13.510400000000001</v>
      </c>
      <c r="CI73" s="13">
        <v>8.61</v>
      </c>
      <c r="CJ73" s="13">
        <f>3.261+4.1266</f>
        <v>7.3875999999999999</v>
      </c>
      <c r="CK73" s="13">
        <v>7.1104000000000003</v>
      </c>
      <c r="CL73" s="13">
        <v>5.4603999999999999</v>
      </c>
      <c r="CM73" s="13">
        <f>2.49+2.97</f>
        <v>5.4600000000000009</v>
      </c>
      <c r="CN73" s="13">
        <f>1.8961+2.0791</f>
        <v>3.9752000000000001</v>
      </c>
      <c r="CO73" s="13">
        <f>3.6503+4.2</f>
        <v>7.8503000000000007</v>
      </c>
      <c r="CP73" s="13">
        <f>2.0084+1.7376</f>
        <v>3.746</v>
      </c>
      <c r="CQ73" s="13">
        <f>3.2829+3.649</f>
        <v>6.9319000000000006</v>
      </c>
    </row>
    <row r="74" spans="1:95" ht="15.75" x14ac:dyDescent="0.25">
      <c r="A74" s="19" t="s">
        <v>115</v>
      </c>
      <c r="B74" s="20">
        <v>286.25409999999999</v>
      </c>
      <c r="C74" s="20">
        <v>24.759799999999998</v>
      </c>
      <c r="D74" s="20">
        <v>8.6495879010990588</v>
      </c>
      <c r="E74" s="20">
        <v>394.12920000000003</v>
      </c>
      <c r="F74" s="20">
        <v>19.821000000000002</v>
      </c>
      <c r="G74" s="20">
        <v>5.0290615361663127</v>
      </c>
      <c r="H74" s="20">
        <v>441.34070000000003</v>
      </c>
      <c r="I74" s="20">
        <v>37.180700000000002</v>
      </c>
      <c r="J74" s="20">
        <v>8.4244892891138292</v>
      </c>
      <c r="K74" s="20">
        <v>1622.4046000000001</v>
      </c>
      <c r="L74" s="20">
        <v>235.12459999999999</v>
      </c>
      <c r="M74" s="20">
        <v>14.492352893969851</v>
      </c>
      <c r="N74" s="20">
        <v>1406.4508999999998</v>
      </c>
      <c r="O74" s="20">
        <v>110.2962</v>
      </c>
      <c r="P74" s="20">
        <v>7.8421649842166552</v>
      </c>
      <c r="Q74" s="20">
        <v>1297.3268</v>
      </c>
      <c r="R74" s="20">
        <v>112.31270000000001</v>
      </c>
      <c r="S74" s="20">
        <v>8.6572404115909727</v>
      </c>
      <c r="T74" s="20">
        <v>1343.5979</v>
      </c>
      <c r="U74" s="20">
        <v>107.57340000000001</v>
      </c>
      <c r="V74" s="20">
        <v>8.0063685720259024</v>
      </c>
      <c r="W74" s="20">
        <v>1506.4675999999999</v>
      </c>
      <c r="X74" s="20">
        <v>164.58840000000001</v>
      </c>
      <c r="Y74" s="20">
        <v>10.925452362865288</v>
      </c>
      <c r="Z74" s="20">
        <v>1329.9630999999999</v>
      </c>
      <c r="AA74" s="20">
        <v>135.77160000000001</v>
      </c>
      <c r="AB74" s="20">
        <v>10.208674210585242</v>
      </c>
      <c r="AC74" s="20">
        <v>1470.8064999999999</v>
      </c>
      <c r="AD74" s="20">
        <v>250.78479999999999</v>
      </c>
      <c r="AE74" s="20">
        <v>17.050835714963185</v>
      </c>
      <c r="AF74" s="20">
        <v>1410.8924</v>
      </c>
      <c r="AG74" s="20">
        <v>245.20310000000001</v>
      </c>
      <c r="AH74" s="20">
        <v>17.379291291100586</v>
      </c>
      <c r="AI74" s="20">
        <v>1300.1569</v>
      </c>
      <c r="AJ74" s="20">
        <v>219.54549999999998</v>
      </c>
      <c r="AK74" s="20">
        <v>16.886077364970333</v>
      </c>
      <c r="AL74" s="20">
        <v>2519.6122</v>
      </c>
      <c r="AM74" s="20">
        <v>400.3503</v>
      </c>
      <c r="AN74" s="20">
        <v>15.889361862908904</v>
      </c>
      <c r="AO74" s="20">
        <v>2410.9204</v>
      </c>
      <c r="AP74" s="20">
        <v>354.53530000000001</v>
      </c>
      <c r="AQ74" s="20">
        <v>14.705392181342861</v>
      </c>
      <c r="AR74" s="20">
        <v>2249.7856999999999</v>
      </c>
      <c r="AS74" s="20">
        <v>343.01800000000003</v>
      </c>
      <c r="AT74" s="20">
        <v>15.246696607592449</v>
      </c>
      <c r="AU74" s="20">
        <v>1799.0692000000001</v>
      </c>
      <c r="AV74" s="20">
        <v>260.36239999999998</v>
      </c>
      <c r="AW74" s="20">
        <v>14.472061441549883</v>
      </c>
      <c r="AX74" s="20">
        <v>2174.3712999999998</v>
      </c>
      <c r="AY74" s="20">
        <v>304.56300000000005</v>
      </c>
      <c r="AZ74" s="20">
        <v>14.006945363931179</v>
      </c>
      <c r="BA74" s="20">
        <v>2153.2384000000002</v>
      </c>
      <c r="BB74" s="20">
        <v>271.58709999999996</v>
      </c>
      <c r="BC74" s="20">
        <v>12.612960088395225</v>
      </c>
      <c r="BD74" s="20">
        <v>1601.953</v>
      </c>
      <c r="BE74" s="20">
        <v>206.62789999999998</v>
      </c>
      <c r="BF74" s="20">
        <v>12.89849951902459</v>
      </c>
      <c r="BG74" s="20">
        <v>3443.1732000000002</v>
      </c>
      <c r="BH74" s="20">
        <v>530.8288</v>
      </c>
      <c r="BI74" s="20">
        <v>15.416848620917472</v>
      </c>
      <c r="BJ74" s="20">
        <v>2875.7069999999999</v>
      </c>
      <c r="BK74" s="20">
        <v>438.90480000000002</v>
      </c>
      <c r="BL74" s="20">
        <v>15.262500665053846</v>
      </c>
      <c r="BM74" s="20">
        <v>2568.3746000000001</v>
      </c>
      <c r="BN74" s="20">
        <v>387.7217</v>
      </c>
      <c r="BO74" s="20">
        <v>15.095994953384137</v>
      </c>
      <c r="BP74" s="20">
        <v>421.86410000000001</v>
      </c>
      <c r="BQ74" s="20">
        <v>324.6764</v>
      </c>
      <c r="BR74" s="59">
        <v>272.35329999999999</v>
      </c>
      <c r="BS74" s="59">
        <v>407.7013</v>
      </c>
      <c r="BT74" s="59">
        <v>291.048</v>
      </c>
      <c r="BU74" s="20">
        <v>247.05439999999999</v>
      </c>
      <c r="BV74" s="59">
        <v>356.07330000000002</v>
      </c>
      <c r="BW74" s="89">
        <v>322.71019999999999</v>
      </c>
      <c r="BX74" s="89">
        <v>278.29490000000004</v>
      </c>
      <c r="BY74" s="89">
        <v>452.38860000000005</v>
      </c>
      <c r="BZ74" s="89">
        <v>580.27629999999999</v>
      </c>
      <c r="CA74" s="89">
        <v>574.69940000000008</v>
      </c>
      <c r="CB74" s="89">
        <v>438.38330000000002</v>
      </c>
      <c r="CC74" s="89">
        <v>670.07280000000003</v>
      </c>
      <c r="CD74" s="89">
        <v>612.55149999999992</v>
      </c>
      <c r="CE74" s="89">
        <v>717.24440000000004</v>
      </c>
      <c r="CF74" s="20">
        <v>626.50249999999994</v>
      </c>
      <c r="CG74" s="20">
        <v>500.6277</v>
      </c>
      <c r="CH74" s="20">
        <v>667.66840000000002</v>
      </c>
      <c r="CI74" s="20">
        <v>563.15369999999996</v>
      </c>
      <c r="CJ74" s="20">
        <f>SUM(CJ72:CJ73)</f>
        <v>489.45670000000001</v>
      </c>
      <c r="CK74" s="20">
        <v>622.76300000000003</v>
      </c>
      <c r="CL74" s="20">
        <v>630.8053000000001</v>
      </c>
      <c r="CM74" s="21">
        <f>SUM(CM72:CM73)</f>
        <v>590.96510000000001</v>
      </c>
      <c r="CN74" s="21">
        <f>SUM(CN72:CN73)</f>
        <v>404.65289999999999</v>
      </c>
      <c r="CO74" s="21">
        <f>SUM(CO72:CO73)</f>
        <v>681.01580000000001</v>
      </c>
      <c r="CP74" s="21">
        <f>SUM(CP72:CP73)</f>
        <v>539.76159999999993</v>
      </c>
      <c r="CQ74" s="21">
        <f>SUM(CQ72:CQ73)</f>
        <v>712.90520000000015</v>
      </c>
    </row>
    <row r="75" spans="1:95" ht="15.75" x14ac:dyDescent="0.25">
      <c r="A75" s="13" t="s">
        <v>116</v>
      </c>
      <c r="B75" s="12">
        <v>12.885899999999999</v>
      </c>
      <c r="C75" s="12">
        <v>0</v>
      </c>
      <c r="D75" s="12">
        <v>0</v>
      </c>
      <c r="E75" s="12">
        <v>18.8141</v>
      </c>
      <c r="F75" s="12">
        <v>0</v>
      </c>
      <c r="G75" s="12">
        <v>0</v>
      </c>
      <c r="H75" s="12">
        <v>23.252400000000002</v>
      </c>
      <c r="I75" s="12">
        <v>0</v>
      </c>
      <c r="J75" s="12">
        <v>0</v>
      </c>
      <c r="K75" s="12">
        <v>24.596</v>
      </c>
      <c r="L75" s="12">
        <v>0</v>
      </c>
      <c r="M75" s="12">
        <v>0</v>
      </c>
      <c r="N75" s="12">
        <v>40.167999999999999</v>
      </c>
      <c r="O75" s="12">
        <v>3.347</v>
      </c>
      <c r="P75" s="12">
        <v>8.3325034853614817</v>
      </c>
      <c r="Q75" s="12">
        <v>28.9466</v>
      </c>
      <c r="R75" s="12">
        <v>2.1472000000000002</v>
      </c>
      <c r="S75" s="12">
        <v>7.4177969087906703</v>
      </c>
      <c r="T75" s="12">
        <v>29.621099999999998</v>
      </c>
      <c r="U75" s="12">
        <v>5.0827999999999998</v>
      </c>
      <c r="V75" s="12">
        <v>17.159389759326967</v>
      </c>
      <c r="W75" s="12">
        <v>26.052600000000002</v>
      </c>
      <c r="X75" s="12">
        <v>1.9477</v>
      </c>
      <c r="Y75" s="12">
        <v>7.4760292638738539</v>
      </c>
      <c r="Z75" s="12">
        <v>2.4460999999999999</v>
      </c>
      <c r="AA75" s="12">
        <v>0</v>
      </c>
      <c r="AB75" s="12">
        <v>0</v>
      </c>
      <c r="AC75" s="12">
        <v>56.338299999999997</v>
      </c>
      <c r="AD75" s="12">
        <v>6.7988</v>
      </c>
      <c r="AE75" s="12">
        <v>12.067811772808197</v>
      </c>
      <c r="AF75" s="12">
        <v>38.641300000000001</v>
      </c>
      <c r="AG75" s="12">
        <v>6.7988</v>
      </c>
      <c r="AH75" s="12">
        <v>17.594646142857513</v>
      </c>
      <c r="AI75" s="12">
        <v>23.963200000000001</v>
      </c>
      <c r="AJ75" s="12">
        <v>3.4094000000000002</v>
      </c>
      <c r="AK75" s="12">
        <v>14.227649061894907</v>
      </c>
      <c r="AL75" s="12">
        <v>44.260599999999997</v>
      </c>
      <c r="AM75" s="12">
        <v>6.9893999999999998</v>
      </c>
      <c r="AN75" s="12">
        <v>15.79147142153518</v>
      </c>
      <c r="AO75" s="12">
        <v>51.1402</v>
      </c>
      <c r="AP75" s="12">
        <v>6.9893999999999998</v>
      </c>
      <c r="AQ75" s="12">
        <v>13.667134661186306</v>
      </c>
      <c r="AR75" s="12">
        <v>35.126899999999999</v>
      </c>
      <c r="AS75" s="12">
        <v>4.3521000000000001</v>
      </c>
      <c r="AT75" s="12">
        <v>12.38965009721894</v>
      </c>
      <c r="AU75" s="12">
        <v>38.817700000000002</v>
      </c>
      <c r="AV75" s="12">
        <v>4.3521000000000001</v>
      </c>
      <c r="AW75" s="12">
        <v>11.211637989886057</v>
      </c>
      <c r="AX75" s="12">
        <v>53.0289</v>
      </c>
      <c r="AY75" s="12">
        <v>7.0202999999999998</v>
      </c>
      <c r="AZ75" s="12">
        <v>13.238630256331923</v>
      </c>
      <c r="BA75" s="12">
        <v>42.97</v>
      </c>
      <c r="BB75" s="12">
        <v>4.5</v>
      </c>
      <c r="BC75" s="12">
        <v>10.472422620432861</v>
      </c>
      <c r="BD75" s="12">
        <v>42.891300000000001</v>
      </c>
      <c r="BE75" s="12">
        <v>4.5</v>
      </c>
      <c r="BF75" s="12">
        <v>10.491638164382987</v>
      </c>
      <c r="BG75" s="12">
        <v>29.126799999999999</v>
      </c>
      <c r="BH75" s="12">
        <v>5.39</v>
      </c>
      <c r="BI75" s="12">
        <v>18.505294093412253</v>
      </c>
      <c r="BJ75" s="12">
        <v>41.812199999999997</v>
      </c>
      <c r="BK75" s="12">
        <v>6.7698</v>
      </c>
      <c r="BL75" s="12">
        <v>16.190968186318827</v>
      </c>
      <c r="BM75" s="12">
        <v>40.4786</v>
      </c>
      <c r="BN75" s="12">
        <v>6.7698</v>
      </c>
      <c r="BO75" s="12">
        <v>16.724392642038016</v>
      </c>
      <c r="BP75" s="12">
        <v>4.72</v>
      </c>
      <c r="BQ75" s="12">
        <v>4.72</v>
      </c>
      <c r="BR75" s="57">
        <v>4.72</v>
      </c>
      <c r="BS75" s="57">
        <v>0.38</v>
      </c>
      <c r="BT75" s="57">
        <v>0</v>
      </c>
      <c r="BU75" s="13">
        <v>0</v>
      </c>
      <c r="BV75" s="57">
        <v>0</v>
      </c>
      <c r="BW75" s="98">
        <v>0</v>
      </c>
      <c r="BX75" s="108">
        <v>0</v>
      </c>
      <c r="BY75" s="108">
        <v>0</v>
      </c>
      <c r="BZ75" s="108">
        <v>0</v>
      </c>
      <c r="CA75" s="12">
        <v>0</v>
      </c>
      <c r="CB75" s="12">
        <v>0</v>
      </c>
      <c r="CC75" s="12">
        <v>0</v>
      </c>
      <c r="CD75" s="12">
        <v>0</v>
      </c>
      <c r="CE75" s="81">
        <v>0</v>
      </c>
      <c r="CF75" s="12">
        <v>0</v>
      </c>
      <c r="CG75" s="12">
        <v>0</v>
      </c>
      <c r="CH75" s="12">
        <v>0</v>
      </c>
      <c r="CI75" s="13">
        <v>0</v>
      </c>
      <c r="CJ75" s="13">
        <v>0</v>
      </c>
      <c r="CK75" s="13">
        <v>0</v>
      </c>
      <c r="CL75" s="13">
        <v>0</v>
      </c>
      <c r="CM75" s="13">
        <v>0</v>
      </c>
      <c r="CN75" s="13">
        <v>0</v>
      </c>
      <c r="CO75" s="13">
        <v>0</v>
      </c>
      <c r="CP75" s="13">
        <v>0</v>
      </c>
      <c r="CQ75" s="13">
        <v>0</v>
      </c>
    </row>
    <row r="76" spans="1:95" ht="15.75" x14ac:dyDescent="0.25">
      <c r="A76" s="13" t="s">
        <v>117</v>
      </c>
      <c r="B76" s="12">
        <v>23.613099999999999</v>
      </c>
      <c r="C76" s="12">
        <v>0</v>
      </c>
      <c r="D76" s="12">
        <v>0</v>
      </c>
      <c r="E76" s="12">
        <v>33.680599999999998</v>
      </c>
      <c r="F76" s="12">
        <v>0</v>
      </c>
      <c r="G76" s="12">
        <v>0</v>
      </c>
      <c r="H76" s="12">
        <v>24.9024</v>
      </c>
      <c r="I76" s="12">
        <v>0</v>
      </c>
      <c r="J76" s="12">
        <v>0</v>
      </c>
      <c r="K76" s="12">
        <v>26.177800000000001</v>
      </c>
      <c r="L76" s="12">
        <v>0</v>
      </c>
      <c r="M76" s="12">
        <v>0</v>
      </c>
      <c r="N76" s="12">
        <v>35.895499999999998</v>
      </c>
      <c r="O76" s="12">
        <v>1E-3</v>
      </c>
      <c r="P76" s="12">
        <v>2.7858645234082268E-3</v>
      </c>
      <c r="Q76" s="12">
        <v>24.130400000000002</v>
      </c>
      <c r="R76" s="12">
        <v>0</v>
      </c>
      <c r="S76" s="12">
        <v>0</v>
      </c>
      <c r="T76" s="12">
        <v>0.25509999999999999</v>
      </c>
      <c r="U76" s="12">
        <v>1E-3</v>
      </c>
      <c r="V76" s="12">
        <v>0.39200313602508818</v>
      </c>
      <c r="W76" s="12">
        <v>32.850099999999998</v>
      </c>
      <c r="X76" s="12">
        <v>5.44</v>
      </c>
      <c r="Y76" s="12">
        <v>16.560071354425105</v>
      </c>
      <c r="Z76" s="12">
        <v>27.647300000000001</v>
      </c>
      <c r="AA76" s="12">
        <v>10.3422</v>
      </c>
      <c r="AB76" s="12">
        <v>37.407631124919973</v>
      </c>
      <c r="AC76" s="12">
        <v>35.450099999999999</v>
      </c>
      <c r="AD76" s="12">
        <v>5.9829999999999997</v>
      </c>
      <c r="AE76" s="12">
        <v>16.877244351920023</v>
      </c>
      <c r="AF76" s="12">
        <v>0.61760000000000004</v>
      </c>
      <c r="AG76" s="12">
        <v>5.9999999999999995E-4</v>
      </c>
      <c r="AH76" s="12">
        <v>9.7150259067357497E-2</v>
      </c>
      <c r="AI76" s="12">
        <v>0.33300000000000002</v>
      </c>
      <c r="AJ76" s="12">
        <v>0</v>
      </c>
      <c r="AK76" s="12">
        <v>0</v>
      </c>
      <c r="AL76" s="12">
        <v>0.36599999999999999</v>
      </c>
      <c r="AM76" s="12">
        <v>5.9999999999999995E-4</v>
      </c>
      <c r="AN76" s="12">
        <v>0.16393442622950818</v>
      </c>
      <c r="AO76" s="12">
        <v>0.36599999999999999</v>
      </c>
      <c r="AP76" s="12">
        <v>5.9999999999999995E-4</v>
      </c>
      <c r="AQ76" s="12">
        <v>0.16393442622950818</v>
      </c>
      <c r="AR76" s="12">
        <v>0.31269999999999998</v>
      </c>
      <c r="AS76" s="12">
        <v>5.9999999999999995E-4</v>
      </c>
      <c r="AT76" s="12">
        <v>0.19187719859290053</v>
      </c>
      <c r="AU76" s="12">
        <v>0.27610000000000001</v>
      </c>
      <c r="AV76" s="12">
        <v>0</v>
      </c>
      <c r="AW76" s="12">
        <v>0</v>
      </c>
      <c r="AX76" s="12">
        <v>1.2767999999999999</v>
      </c>
      <c r="AY76" s="12">
        <v>0</v>
      </c>
      <c r="AZ76" s="12">
        <v>0</v>
      </c>
      <c r="BA76" s="12">
        <v>0.40610000000000002</v>
      </c>
      <c r="BB76" s="12">
        <v>0</v>
      </c>
      <c r="BC76" s="12">
        <v>0</v>
      </c>
      <c r="BD76" s="12">
        <v>0.39319999999999999</v>
      </c>
      <c r="BE76" s="12">
        <v>0</v>
      </c>
      <c r="BF76" s="12">
        <v>0</v>
      </c>
      <c r="BG76" s="12">
        <v>0.27200000000000002</v>
      </c>
      <c r="BH76" s="12">
        <v>0</v>
      </c>
      <c r="BI76" s="12">
        <v>0</v>
      </c>
      <c r="BJ76" s="12">
        <v>0.27200000000000002</v>
      </c>
      <c r="BK76" s="12">
        <v>0</v>
      </c>
      <c r="BL76" s="12">
        <v>0</v>
      </c>
      <c r="BM76" s="12">
        <v>0.2424</v>
      </c>
      <c r="BN76" s="12">
        <v>0</v>
      </c>
      <c r="BO76" s="12">
        <v>0</v>
      </c>
      <c r="BP76" s="12">
        <v>0</v>
      </c>
      <c r="BQ76" s="12">
        <v>0</v>
      </c>
      <c r="BR76" s="57">
        <v>0</v>
      </c>
      <c r="BS76" s="57">
        <v>0</v>
      </c>
      <c r="BT76" s="57">
        <v>0</v>
      </c>
      <c r="BU76" s="57">
        <v>0</v>
      </c>
      <c r="BV76" s="57">
        <v>0</v>
      </c>
      <c r="BW76" s="87">
        <v>0</v>
      </c>
      <c r="BX76" s="108">
        <v>0</v>
      </c>
      <c r="BY76" s="108">
        <v>0</v>
      </c>
      <c r="BZ76" s="108">
        <v>0</v>
      </c>
      <c r="CA76" s="12">
        <v>0</v>
      </c>
      <c r="CB76" s="12">
        <v>0</v>
      </c>
      <c r="CC76" s="12">
        <v>0</v>
      </c>
      <c r="CD76" s="12">
        <v>0</v>
      </c>
      <c r="CE76" s="81">
        <v>0</v>
      </c>
      <c r="CF76" s="12">
        <v>0</v>
      </c>
      <c r="CG76" s="12">
        <v>0</v>
      </c>
      <c r="CH76" s="12">
        <v>0</v>
      </c>
      <c r="CI76" s="13">
        <v>0</v>
      </c>
      <c r="CJ76" s="13">
        <v>0</v>
      </c>
      <c r="CK76" s="13">
        <v>0</v>
      </c>
      <c r="CL76" s="13">
        <v>0</v>
      </c>
      <c r="CM76" s="13">
        <v>0</v>
      </c>
      <c r="CN76" s="13">
        <v>0</v>
      </c>
      <c r="CO76" s="13">
        <v>0</v>
      </c>
      <c r="CP76" s="13">
        <v>0</v>
      </c>
      <c r="CQ76" s="13">
        <v>0</v>
      </c>
    </row>
    <row r="77" spans="1:95" ht="15.75" x14ac:dyDescent="0.25">
      <c r="A77" s="19" t="s">
        <v>118</v>
      </c>
      <c r="B77" s="20">
        <v>36.499000000000002</v>
      </c>
      <c r="C77" s="20">
        <v>0</v>
      </c>
      <c r="D77" s="20">
        <v>0</v>
      </c>
      <c r="E77" s="20">
        <v>52.494700000000002</v>
      </c>
      <c r="F77" s="20">
        <v>0</v>
      </c>
      <c r="G77" s="20">
        <v>0</v>
      </c>
      <c r="H77" s="20">
        <v>48.154800000000002</v>
      </c>
      <c r="I77" s="20">
        <v>0</v>
      </c>
      <c r="J77" s="20">
        <v>0</v>
      </c>
      <c r="K77" s="20">
        <v>50.773800000000001</v>
      </c>
      <c r="L77" s="20">
        <v>0</v>
      </c>
      <c r="M77" s="20">
        <v>0</v>
      </c>
      <c r="N77" s="20">
        <v>76.063500000000005</v>
      </c>
      <c r="O77" s="20">
        <v>3.3479999999999999</v>
      </c>
      <c r="P77" s="20">
        <v>4.401585517363781</v>
      </c>
      <c r="Q77" s="20">
        <v>53.076999999999998</v>
      </c>
      <c r="R77" s="20">
        <v>2.1472000000000002</v>
      </c>
      <c r="S77" s="20">
        <v>4.0454434124008527</v>
      </c>
      <c r="T77" s="20">
        <v>29.876199999999997</v>
      </c>
      <c r="U77" s="20">
        <v>5.0838000000000001</v>
      </c>
      <c r="V77" s="20">
        <v>17.016220268976646</v>
      </c>
      <c r="W77" s="20">
        <v>58.902700000000003</v>
      </c>
      <c r="X77" s="20">
        <v>7.3876999999999997</v>
      </c>
      <c r="Y77" s="20">
        <v>12.542209440314281</v>
      </c>
      <c r="Z77" s="20">
        <v>30.093399999999999</v>
      </c>
      <c r="AA77" s="20">
        <v>10.3422</v>
      </c>
      <c r="AB77" s="20">
        <v>34.367004060691045</v>
      </c>
      <c r="AC77" s="20">
        <v>91.788399999999996</v>
      </c>
      <c r="AD77" s="20">
        <v>12.7818</v>
      </c>
      <c r="AE77" s="20">
        <v>13.92528903434421</v>
      </c>
      <c r="AF77" s="20">
        <v>39.258899999999997</v>
      </c>
      <c r="AG77" s="20">
        <v>6.7994000000000003</v>
      </c>
      <c r="AH77" s="20">
        <v>17.319384903805254</v>
      </c>
      <c r="AI77" s="20">
        <v>24.296199999999999</v>
      </c>
      <c r="AJ77" s="20">
        <v>3.4094000000000002</v>
      </c>
      <c r="AK77" s="20">
        <v>14.032647080613431</v>
      </c>
      <c r="AL77" s="20">
        <v>44.626600000000003</v>
      </c>
      <c r="AM77" s="20">
        <v>6.99</v>
      </c>
      <c r="AN77" s="20">
        <v>15.663303948765982</v>
      </c>
      <c r="AO77" s="20">
        <v>51.5062</v>
      </c>
      <c r="AP77" s="20">
        <v>6.99</v>
      </c>
      <c r="AQ77" s="20">
        <v>13.571181721812131</v>
      </c>
      <c r="AR77" s="20">
        <v>35.439599999999999</v>
      </c>
      <c r="AS77" s="20">
        <v>4.3527000000000005</v>
      </c>
      <c r="AT77" s="20">
        <v>12.282023499136562</v>
      </c>
      <c r="AU77" s="20">
        <v>39.093800000000002</v>
      </c>
      <c r="AV77" s="20">
        <v>4.3521000000000001</v>
      </c>
      <c r="AW77" s="20">
        <v>11.132455785827931</v>
      </c>
      <c r="AX77" s="20">
        <v>54.305700000000002</v>
      </c>
      <c r="AY77" s="20">
        <v>7.0202999999999998</v>
      </c>
      <c r="AZ77" s="20">
        <v>12.927372264789883</v>
      </c>
      <c r="BA77" s="20">
        <v>43.376100000000001</v>
      </c>
      <c r="BB77" s="20">
        <v>4.5</v>
      </c>
      <c r="BC77" s="20">
        <v>10.374376672868237</v>
      </c>
      <c r="BD77" s="20">
        <v>43.284500000000001</v>
      </c>
      <c r="BE77" s="20">
        <v>4.5</v>
      </c>
      <c r="BF77" s="20">
        <v>10.396331250216589</v>
      </c>
      <c r="BG77" s="20">
        <v>29.398799999999998</v>
      </c>
      <c r="BH77" s="20">
        <v>5.39</v>
      </c>
      <c r="BI77" s="20">
        <v>18.334081663197139</v>
      </c>
      <c r="BJ77" s="20">
        <v>42.084199999999996</v>
      </c>
      <c r="BK77" s="20">
        <v>6.7698</v>
      </c>
      <c r="BL77" s="20">
        <v>16.086322182671882</v>
      </c>
      <c r="BM77" s="20">
        <v>40.721000000000004</v>
      </c>
      <c r="BN77" s="20">
        <v>6.7698</v>
      </c>
      <c r="BO77" s="20">
        <v>16.624837307531738</v>
      </c>
      <c r="BP77" s="20">
        <v>4.72</v>
      </c>
      <c r="BQ77" s="20">
        <v>4.72</v>
      </c>
      <c r="BR77" s="59">
        <v>4.72</v>
      </c>
      <c r="BS77" s="59">
        <v>0.38</v>
      </c>
      <c r="BT77" s="59">
        <v>0</v>
      </c>
      <c r="BU77" s="21">
        <v>0</v>
      </c>
      <c r="BV77" s="59">
        <v>0</v>
      </c>
      <c r="BW77" s="97">
        <v>0</v>
      </c>
      <c r="BX77" s="97">
        <v>0</v>
      </c>
      <c r="BY77" s="97">
        <v>0</v>
      </c>
      <c r="BZ77" s="97">
        <v>0</v>
      </c>
      <c r="CA77" s="97">
        <v>0</v>
      </c>
      <c r="CB77" s="97">
        <v>0</v>
      </c>
      <c r="CC77" s="89">
        <v>0</v>
      </c>
      <c r="CD77" s="89">
        <v>0</v>
      </c>
      <c r="CE77" s="89">
        <v>0</v>
      </c>
      <c r="CF77" s="20">
        <v>0</v>
      </c>
      <c r="CG77" s="20">
        <v>0</v>
      </c>
      <c r="CH77" s="20">
        <v>0</v>
      </c>
      <c r="CI77" s="20">
        <v>0</v>
      </c>
      <c r="CJ77" s="20">
        <f>SUM(CJ75:CJ76)</f>
        <v>0</v>
      </c>
      <c r="CK77" s="20">
        <v>0</v>
      </c>
      <c r="CL77" s="20">
        <v>0</v>
      </c>
      <c r="CM77" s="21">
        <f>SUM(CM75:CM76)</f>
        <v>0</v>
      </c>
      <c r="CN77" s="21">
        <f>SUM(CN75:CN76)</f>
        <v>0</v>
      </c>
      <c r="CO77" s="21">
        <f>SUM(CO75:CO76)</f>
        <v>0</v>
      </c>
      <c r="CP77" s="21">
        <f>SUM(CP75:CP76)</f>
        <v>0</v>
      </c>
      <c r="CQ77" s="21">
        <f>SUM(CQ75:CQ76)</f>
        <v>0</v>
      </c>
    </row>
    <row r="78" spans="1:95" ht="15.75" x14ac:dyDescent="0.25">
      <c r="A78" s="11" t="s">
        <v>119</v>
      </c>
      <c r="B78" s="12">
        <v>27.398299999999999</v>
      </c>
      <c r="C78" s="12">
        <v>2.4691000000000001</v>
      </c>
      <c r="D78" s="12">
        <v>9.0118729994196727</v>
      </c>
      <c r="E78" s="12">
        <v>22.252700000000001</v>
      </c>
      <c r="F78" s="12">
        <v>1.6298999999999999</v>
      </c>
      <c r="G78" s="12">
        <v>7.32450444215758</v>
      </c>
      <c r="H78" s="12">
        <v>22.421700000000001</v>
      </c>
      <c r="I78" s="12">
        <v>0.80900000000000005</v>
      </c>
      <c r="J78" s="12">
        <v>3.6081117845658448</v>
      </c>
      <c r="K78" s="12">
        <v>35.022199999999998</v>
      </c>
      <c r="L78" s="12">
        <v>1.0199</v>
      </c>
      <c r="M78" s="12">
        <v>2.9121528630411571</v>
      </c>
      <c r="N78" s="12">
        <v>65.353800000000007</v>
      </c>
      <c r="O78" s="12">
        <v>9.0655000000000001</v>
      </c>
      <c r="P78" s="12">
        <v>13.871419871530039</v>
      </c>
      <c r="Q78" s="12">
        <v>60.550800000000002</v>
      </c>
      <c r="R78" s="12">
        <v>8.1555</v>
      </c>
      <c r="S78" s="12">
        <v>13.468855902812182</v>
      </c>
      <c r="T78" s="12">
        <v>71.416899999999998</v>
      </c>
      <c r="U78" s="12">
        <v>11.486499999999999</v>
      </c>
      <c r="V78" s="12">
        <v>16.083728081168463</v>
      </c>
      <c r="W78" s="12">
        <v>120.4552</v>
      </c>
      <c r="X78" s="12">
        <v>15.108700000000001</v>
      </c>
      <c r="Y78" s="12">
        <v>12.543003539905293</v>
      </c>
      <c r="Z78" s="12">
        <v>106.3732</v>
      </c>
      <c r="AA78" s="12">
        <v>15.0482</v>
      </c>
      <c r="AB78" s="12">
        <v>14.146608356240106</v>
      </c>
      <c r="AC78" s="12">
        <v>169.80160000000001</v>
      </c>
      <c r="AD78" s="12">
        <v>35.1586</v>
      </c>
      <c r="AE78" s="12">
        <v>20.705694174848762</v>
      </c>
      <c r="AF78" s="12">
        <v>237.4751</v>
      </c>
      <c r="AG78" s="12">
        <v>20.028500000000001</v>
      </c>
      <c r="AH78" s="12">
        <v>8.4339368632753509</v>
      </c>
      <c r="AI78" s="12">
        <v>199.30409999999998</v>
      </c>
      <c r="AJ78" s="12">
        <v>15.7448</v>
      </c>
      <c r="AK78" s="12">
        <v>7.8998876591098739</v>
      </c>
      <c r="AL78" s="12">
        <v>346.25839999999999</v>
      </c>
      <c r="AM78" s="12">
        <v>62.179099999999998</v>
      </c>
      <c r="AN78" s="12">
        <v>17.957427169997896</v>
      </c>
      <c r="AO78" s="12">
        <v>305.8741</v>
      </c>
      <c r="AP78" s="12">
        <v>62.579700000000003</v>
      </c>
      <c r="AQ78" s="12">
        <v>20.459300084577283</v>
      </c>
      <c r="AR78" s="12">
        <v>265.7122</v>
      </c>
      <c r="AS78" s="12">
        <v>50.202199999999998</v>
      </c>
      <c r="AT78" s="12">
        <v>18.893449378688672</v>
      </c>
      <c r="AU78" s="12">
        <v>162.7886</v>
      </c>
      <c r="AV78" s="12">
        <v>32.658000000000001</v>
      </c>
      <c r="AW78" s="12">
        <v>20.061601365206165</v>
      </c>
      <c r="AX78" s="12">
        <v>248.8734</v>
      </c>
      <c r="AY78" s="12">
        <v>48.765999999999998</v>
      </c>
      <c r="AZ78" s="12">
        <v>19.594701563124062</v>
      </c>
      <c r="BA78" s="12">
        <v>190.03380000000001</v>
      </c>
      <c r="BB78" s="12">
        <v>24.311</v>
      </c>
      <c r="BC78" s="12">
        <v>12.792987352776189</v>
      </c>
      <c r="BD78" s="12">
        <v>156.1285</v>
      </c>
      <c r="BE78" s="12">
        <v>13.355</v>
      </c>
      <c r="BF78" s="12">
        <v>8.553851474906887</v>
      </c>
      <c r="BG78" s="12">
        <v>257.46609999999998</v>
      </c>
      <c r="BH78" s="12">
        <v>52.307200000000002</v>
      </c>
      <c r="BI78" s="12">
        <v>20.31615035921234</v>
      </c>
      <c r="BJ78" s="12">
        <v>322.63310000000001</v>
      </c>
      <c r="BK78" s="12">
        <v>71.097200000000001</v>
      </c>
      <c r="BL78" s="12">
        <v>22.036548636826165</v>
      </c>
      <c r="BM78" s="12">
        <v>315.8279</v>
      </c>
      <c r="BN78" s="12">
        <v>70.751800000000003</v>
      </c>
      <c r="BO78" s="12"/>
      <c r="BP78" s="12">
        <v>71.432000000000002</v>
      </c>
      <c r="BQ78" s="12">
        <v>82.226100000000002</v>
      </c>
      <c r="BR78" s="57">
        <v>81.631200000000007</v>
      </c>
      <c r="BS78" s="57">
        <v>146.41119999999998</v>
      </c>
      <c r="BT78" s="57">
        <v>132.88929999999999</v>
      </c>
      <c r="BU78" s="12">
        <v>130.66929999999999</v>
      </c>
      <c r="BV78" s="57">
        <v>167.0401</v>
      </c>
      <c r="BW78" s="81">
        <v>155.0651</v>
      </c>
      <c r="BX78" s="13">
        <v>144.75229999999999</v>
      </c>
      <c r="BY78" s="109">
        <v>218.34050000000002</v>
      </c>
      <c r="BZ78" s="13">
        <v>263.48</v>
      </c>
      <c r="CA78" s="13">
        <v>250.30090000000001</v>
      </c>
      <c r="CB78" s="13">
        <v>299.3236</v>
      </c>
      <c r="CC78" s="12">
        <v>305.23019999999997</v>
      </c>
      <c r="CD78" s="12">
        <v>284.137</v>
      </c>
      <c r="CE78" s="81">
        <v>343.2176</v>
      </c>
      <c r="CF78" s="12">
        <v>350.01709999999997</v>
      </c>
      <c r="CG78" s="12">
        <v>332.4966</v>
      </c>
      <c r="CH78" s="12">
        <v>389.10820000000001</v>
      </c>
      <c r="CI78" s="13">
        <v>389.92199999999997</v>
      </c>
      <c r="CJ78" s="13">
        <f>370.4331+0.787</f>
        <v>371.2201</v>
      </c>
      <c r="CK78" s="13">
        <v>414.47519999999997</v>
      </c>
      <c r="CL78" s="13">
        <v>431.91309999999999</v>
      </c>
      <c r="CM78" s="13">
        <f>385.7614+20.3208</f>
        <v>406.0822</v>
      </c>
      <c r="CN78" s="13">
        <f>365.5591+10.9223</f>
        <v>376.48140000000001</v>
      </c>
      <c r="CO78" s="13">
        <f>418.6929+29.1351</f>
        <v>447.82800000000003</v>
      </c>
      <c r="CP78" s="13">
        <f>425.2971+13.9254</f>
        <v>439.22250000000003</v>
      </c>
      <c r="CQ78" s="13">
        <f>598.8072+26.1648</f>
        <v>624.97199999999998</v>
      </c>
    </row>
    <row r="79" spans="1:95" ht="15.75" x14ac:dyDescent="0.25">
      <c r="A79" s="11" t="s">
        <v>120</v>
      </c>
      <c r="B79" s="12">
        <v>0.60840000000000005</v>
      </c>
      <c r="C79" s="12">
        <v>0</v>
      </c>
      <c r="D79" s="12">
        <v>0</v>
      </c>
      <c r="E79" s="12">
        <v>0.53710000000000002</v>
      </c>
      <c r="F79" s="12">
        <v>0</v>
      </c>
      <c r="G79" s="12">
        <v>0</v>
      </c>
      <c r="H79" s="12">
        <v>0.82150000000000001</v>
      </c>
      <c r="I79" s="12">
        <v>0</v>
      </c>
      <c r="J79" s="12">
        <v>0</v>
      </c>
      <c r="K79" s="12">
        <v>0.12529999999999999</v>
      </c>
      <c r="L79" s="12">
        <v>0</v>
      </c>
      <c r="M79" s="12">
        <v>0</v>
      </c>
      <c r="N79" s="12">
        <v>1.1223000000000001</v>
      </c>
      <c r="O79" s="12">
        <v>0</v>
      </c>
      <c r="P79" s="12">
        <v>0</v>
      </c>
      <c r="Q79" s="12">
        <v>0.38679999999999998</v>
      </c>
      <c r="R79" s="12">
        <v>0</v>
      </c>
      <c r="S79" s="12">
        <v>0</v>
      </c>
      <c r="T79" s="12">
        <v>18.599699999999999</v>
      </c>
      <c r="U79" s="12">
        <v>0</v>
      </c>
      <c r="V79" s="12">
        <v>0</v>
      </c>
      <c r="W79" s="12">
        <v>17.75</v>
      </c>
      <c r="X79" s="12">
        <v>0</v>
      </c>
      <c r="Y79" s="12">
        <v>0</v>
      </c>
      <c r="Z79" s="12">
        <v>14.587999999999999</v>
      </c>
      <c r="AA79" s="12">
        <v>0</v>
      </c>
      <c r="AB79" s="12">
        <v>0</v>
      </c>
      <c r="AC79" s="12">
        <v>20.614899999999999</v>
      </c>
      <c r="AD79" s="12">
        <v>0</v>
      </c>
      <c r="AE79" s="12">
        <v>0</v>
      </c>
      <c r="AF79" s="12">
        <v>4.8000999999999996</v>
      </c>
      <c r="AG79" s="12">
        <v>0</v>
      </c>
      <c r="AH79" s="12">
        <v>0</v>
      </c>
      <c r="AI79" s="12">
        <v>5.4834999999999994</v>
      </c>
      <c r="AJ79" s="12">
        <v>0</v>
      </c>
      <c r="AK79" s="12">
        <v>0</v>
      </c>
      <c r="AL79" s="12">
        <v>53.0002</v>
      </c>
      <c r="AM79" s="12">
        <v>0</v>
      </c>
      <c r="AN79" s="12">
        <v>0</v>
      </c>
      <c r="AO79" s="12">
        <v>31.0002</v>
      </c>
      <c r="AP79" s="12">
        <v>0</v>
      </c>
      <c r="AQ79" s="12">
        <v>0</v>
      </c>
      <c r="AR79" s="12">
        <v>17.558900000000001</v>
      </c>
      <c r="AS79" s="12">
        <v>0</v>
      </c>
      <c r="AT79" s="12">
        <v>0</v>
      </c>
      <c r="AU79" s="12">
        <v>16.961099999999998</v>
      </c>
      <c r="AV79" s="12">
        <v>0</v>
      </c>
      <c r="AW79" s="12">
        <v>0</v>
      </c>
      <c r="AX79" s="12">
        <v>19.850300000000001</v>
      </c>
      <c r="AY79" s="12">
        <v>0</v>
      </c>
      <c r="AZ79" s="12">
        <v>0</v>
      </c>
      <c r="BA79" s="12">
        <v>14.176</v>
      </c>
      <c r="BB79" s="12">
        <v>0</v>
      </c>
      <c r="BC79" s="12">
        <v>0</v>
      </c>
      <c r="BD79" s="12">
        <v>11.1943</v>
      </c>
      <c r="BE79" s="12">
        <v>0</v>
      </c>
      <c r="BF79" s="12">
        <v>0</v>
      </c>
      <c r="BG79" s="12">
        <v>7.7569999999999997</v>
      </c>
      <c r="BH79" s="12">
        <v>0</v>
      </c>
      <c r="BI79" s="12">
        <v>0</v>
      </c>
      <c r="BJ79" s="12">
        <v>6.0431999999999997</v>
      </c>
      <c r="BK79" s="12">
        <v>0</v>
      </c>
      <c r="BL79" s="12">
        <v>0</v>
      </c>
      <c r="BM79" s="12">
        <v>4.5054999999999996</v>
      </c>
      <c r="BN79" s="12">
        <v>0</v>
      </c>
      <c r="BO79" s="12"/>
      <c r="BP79" s="12">
        <v>0</v>
      </c>
      <c r="BQ79" s="12">
        <v>0</v>
      </c>
      <c r="BR79" s="57">
        <v>0</v>
      </c>
      <c r="BS79" s="57">
        <v>0</v>
      </c>
      <c r="BT79" s="57">
        <v>0</v>
      </c>
      <c r="BU79" s="57">
        <v>0</v>
      </c>
      <c r="BV79" s="57">
        <v>6.0000999999999998</v>
      </c>
      <c r="BW79" s="98">
        <v>6</v>
      </c>
      <c r="BX79" s="13">
        <v>6</v>
      </c>
      <c r="BY79" s="119">
        <v>10</v>
      </c>
      <c r="BZ79" s="13">
        <v>35</v>
      </c>
      <c r="CA79" s="13">
        <v>32</v>
      </c>
      <c r="CB79" s="13">
        <v>28.0001</v>
      </c>
      <c r="CC79" s="12">
        <v>23.975000000000001</v>
      </c>
      <c r="CD79" s="12">
        <v>16.975000000000001</v>
      </c>
      <c r="CE79" s="81">
        <v>112.50020000000001</v>
      </c>
      <c r="CF79" s="12">
        <v>30.75</v>
      </c>
      <c r="CG79" s="12">
        <v>28.7654</v>
      </c>
      <c r="CH79" s="12">
        <v>53.0002</v>
      </c>
      <c r="CI79" s="13">
        <v>44.8001</v>
      </c>
      <c r="CJ79" s="13">
        <v>28.738199999999999</v>
      </c>
      <c r="CK79" s="13">
        <v>41.500100000000003</v>
      </c>
      <c r="CL79" s="13">
        <v>41.500100000000003</v>
      </c>
      <c r="CM79" s="13">
        <v>36.600099999999998</v>
      </c>
      <c r="CN79" s="13">
        <v>24.829699999999999</v>
      </c>
      <c r="CO79" s="13">
        <v>34.600099999999998</v>
      </c>
      <c r="CP79" s="13">
        <v>33.095100000000002</v>
      </c>
      <c r="CQ79" s="13">
        <f>15.3002+0.3</f>
        <v>15.600200000000001</v>
      </c>
    </row>
    <row r="80" spans="1:95" ht="15.75" x14ac:dyDescent="0.25">
      <c r="A80" s="19" t="s">
        <v>121</v>
      </c>
      <c r="B80" s="20">
        <v>28.006699999999999</v>
      </c>
      <c r="C80" s="20">
        <v>2.4691000000000001</v>
      </c>
      <c r="D80" s="20">
        <v>8.8161047177996714</v>
      </c>
      <c r="E80" s="20">
        <v>22.7898</v>
      </c>
      <c r="F80" s="20">
        <v>1.6298999999999999</v>
      </c>
      <c r="G80" s="20">
        <v>7.1518837374614952</v>
      </c>
      <c r="H80" s="20">
        <v>23.243200000000002</v>
      </c>
      <c r="I80" s="20">
        <v>0.80900000000000005</v>
      </c>
      <c r="J80" s="20">
        <v>3.4805878708611551</v>
      </c>
      <c r="K80" s="20">
        <v>35.147500000000001</v>
      </c>
      <c r="L80" s="20">
        <v>1.0199</v>
      </c>
      <c r="M80" s="20">
        <v>2.9017711074756383</v>
      </c>
      <c r="N80" s="20">
        <v>66.476100000000002</v>
      </c>
      <c r="O80" s="20">
        <v>9.0655000000000001</v>
      </c>
      <c r="P80" s="20">
        <v>13.637232027751327</v>
      </c>
      <c r="Q80" s="20">
        <v>60.937600000000003</v>
      </c>
      <c r="R80" s="20">
        <v>8.1555</v>
      </c>
      <c r="S80" s="20">
        <v>13.383362652943337</v>
      </c>
      <c r="T80" s="20">
        <v>90.016599999999997</v>
      </c>
      <c r="U80" s="20">
        <v>11.486499999999999</v>
      </c>
      <c r="V80" s="20">
        <v>12.76042418842747</v>
      </c>
      <c r="W80" s="20">
        <v>138.20519999999999</v>
      </c>
      <c r="X80" s="20">
        <v>15.108700000000001</v>
      </c>
      <c r="Y80" s="20">
        <v>10.932077808939173</v>
      </c>
      <c r="Z80" s="20">
        <v>120.96120000000001</v>
      </c>
      <c r="AA80" s="20">
        <v>15.0482</v>
      </c>
      <c r="AB80" s="20">
        <v>12.440518116553076</v>
      </c>
      <c r="AC80" s="20">
        <v>190.41650000000001</v>
      </c>
      <c r="AD80" s="20">
        <v>35.1586</v>
      </c>
      <c r="AE80" s="20">
        <v>18.464051172036037</v>
      </c>
      <c r="AF80" s="20">
        <v>242.27520000000001</v>
      </c>
      <c r="AG80" s="20">
        <v>20.028500000000001</v>
      </c>
      <c r="AH80" s="20">
        <v>8.2668387024342564</v>
      </c>
      <c r="AI80" s="20">
        <v>204.78759999999997</v>
      </c>
      <c r="AJ80" s="20">
        <v>15.7448</v>
      </c>
      <c r="AK80" s="20">
        <v>7.6883561309376169</v>
      </c>
      <c r="AL80" s="20">
        <v>399.2586</v>
      </c>
      <c r="AM80" s="20">
        <v>62.179099999999998</v>
      </c>
      <c r="AN80" s="20">
        <v>15.573640743117368</v>
      </c>
      <c r="AO80" s="20">
        <v>336.87430000000001</v>
      </c>
      <c r="AP80" s="20">
        <v>62.579700000000003</v>
      </c>
      <c r="AQ80" s="20">
        <v>18.576572923491046</v>
      </c>
      <c r="AR80" s="20">
        <v>283.27109999999999</v>
      </c>
      <c r="AS80" s="20">
        <v>50.202199999999998</v>
      </c>
      <c r="AT80" s="20">
        <v>17.72231618403713</v>
      </c>
      <c r="AU80" s="20">
        <v>179.74969999999999</v>
      </c>
      <c r="AV80" s="20">
        <v>32.658000000000001</v>
      </c>
      <c r="AW80" s="20">
        <v>18.168597777910062</v>
      </c>
      <c r="AX80" s="20">
        <v>268.72370000000001</v>
      </c>
      <c r="AY80" s="20">
        <v>48.765999999999998</v>
      </c>
      <c r="AZ80" s="20">
        <v>18.147264271815249</v>
      </c>
      <c r="BA80" s="20">
        <v>204.2098</v>
      </c>
      <c r="BB80" s="20">
        <v>24.311</v>
      </c>
      <c r="BC80" s="20">
        <v>11.904913476238653</v>
      </c>
      <c r="BD80" s="20">
        <v>167.3228</v>
      </c>
      <c r="BE80" s="20">
        <v>13.355</v>
      </c>
      <c r="BF80" s="20">
        <v>7.9815781232444118</v>
      </c>
      <c r="BG80" s="20">
        <v>265.22309999999999</v>
      </c>
      <c r="BH80" s="20">
        <v>52.307200000000002</v>
      </c>
      <c r="BI80" s="20">
        <v>19.721962378088488</v>
      </c>
      <c r="BJ80" s="20">
        <v>328.67630000000003</v>
      </c>
      <c r="BK80" s="20">
        <v>71.097200000000001</v>
      </c>
      <c r="BL80" s="20">
        <v>21.631374090556573</v>
      </c>
      <c r="BM80" s="20">
        <v>320.33339999999998</v>
      </c>
      <c r="BN80" s="20">
        <v>70.751800000000003</v>
      </c>
      <c r="BO80" s="20">
        <v>22.08692568430267</v>
      </c>
      <c r="BP80" s="20">
        <v>71.432000000000002</v>
      </c>
      <c r="BQ80" s="20">
        <v>82.226100000000002</v>
      </c>
      <c r="BR80" s="59">
        <v>81.631200000000007</v>
      </c>
      <c r="BS80" s="59">
        <v>146.41119999999998</v>
      </c>
      <c r="BT80" s="59">
        <v>132.88929999999999</v>
      </c>
      <c r="BU80" s="20">
        <v>130.66929999999999</v>
      </c>
      <c r="BV80" s="59">
        <v>173.0402</v>
      </c>
      <c r="BW80" s="89">
        <v>161.0651</v>
      </c>
      <c r="BX80" s="89">
        <v>150.75229999999999</v>
      </c>
      <c r="BY80" s="89">
        <v>228.34050000000002</v>
      </c>
      <c r="BZ80" s="89">
        <v>298.48</v>
      </c>
      <c r="CA80" s="89">
        <v>282.30090000000001</v>
      </c>
      <c r="CB80" s="89">
        <v>327.32369999999997</v>
      </c>
      <c r="CC80" s="89">
        <v>329.20519999999999</v>
      </c>
      <c r="CD80" s="89">
        <v>301.11200000000002</v>
      </c>
      <c r="CE80" s="89">
        <v>455.71780000000001</v>
      </c>
      <c r="CF80" s="20">
        <v>380.76709999999997</v>
      </c>
      <c r="CG80" s="20">
        <v>361.262</v>
      </c>
      <c r="CH80" s="20">
        <v>442.10840000000002</v>
      </c>
      <c r="CI80" s="20">
        <v>434.72209999999995</v>
      </c>
      <c r="CJ80" s="20">
        <f>SUM(CJ78:CJ79)</f>
        <v>399.95830000000001</v>
      </c>
      <c r="CK80" s="20">
        <v>455.97529999999995</v>
      </c>
      <c r="CL80" s="20">
        <v>473.41319999999996</v>
      </c>
      <c r="CM80" s="21">
        <f>SUM(CM78:CM79)</f>
        <v>442.6823</v>
      </c>
      <c r="CN80" s="21">
        <f>SUM(CN78:CN79)</f>
        <v>401.31110000000001</v>
      </c>
      <c r="CO80" s="21">
        <f>SUM(CO78:CO79)</f>
        <v>482.42810000000003</v>
      </c>
      <c r="CP80" s="21">
        <f>SUM(CP78:CP79)</f>
        <v>472.31760000000003</v>
      </c>
      <c r="CQ80" s="21">
        <f>SUM(CQ78:CQ79)</f>
        <v>640.57219999999995</v>
      </c>
    </row>
    <row r="81" spans="1:95" ht="15.75" x14ac:dyDescent="0.25">
      <c r="A81" s="65" t="s">
        <v>122</v>
      </c>
      <c r="B81" s="52">
        <v>8.3092000000000006</v>
      </c>
      <c r="C81" s="52">
        <v>0</v>
      </c>
      <c r="D81" s="52">
        <v>0</v>
      </c>
      <c r="E81" s="52">
        <v>0.55600000000000005</v>
      </c>
      <c r="F81" s="52">
        <v>3.3000000000000002E-2</v>
      </c>
      <c r="G81" s="52">
        <v>5.9352517985611506</v>
      </c>
      <c r="H81" s="52">
        <v>0.5403</v>
      </c>
      <c r="I81" s="52">
        <v>4.0000000000000001E-3</v>
      </c>
      <c r="J81" s="52">
        <v>0.74032944660373867</v>
      </c>
      <c r="K81" s="52">
        <v>0.4985</v>
      </c>
      <c r="L81" s="52">
        <v>1.1599999999999999E-2</v>
      </c>
      <c r="M81" s="162">
        <v>2.3269809428284853</v>
      </c>
      <c r="N81" s="52">
        <v>0.87419999999999998</v>
      </c>
      <c r="O81" s="52">
        <v>0.02</v>
      </c>
      <c r="P81" s="52">
        <v>2.2878059940517046</v>
      </c>
      <c r="Q81" s="52">
        <v>0.61570000000000003</v>
      </c>
      <c r="R81" s="52">
        <v>0.02</v>
      </c>
      <c r="S81" s="52">
        <v>3.2483352281955495</v>
      </c>
      <c r="T81" s="52">
        <v>1.2526999999999999</v>
      </c>
      <c r="U81" s="52">
        <v>0.05</v>
      </c>
      <c r="V81" s="52">
        <v>3.9913786221760996</v>
      </c>
      <c r="W81" s="52">
        <v>0.79379999999999995</v>
      </c>
      <c r="X81" s="52">
        <v>0.03</v>
      </c>
      <c r="Y81" s="52">
        <v>3.7792894935752082</v>
      </c>
      <c r="Z81" s="52">
        <v>0.66959999999999997</v>
      </c>
      <c r="AA81" s="52">
        <v>0.03</v>
      </c>
      <c r="AB81" s="52">
        <v>4.4802867383512543</v>
      </c>
      <c r="AC81" s="52">
        <v>1.4530000000000001</v>
      </c>
      <c r="AD81" s="52">
        <v>9.5000000000000001E-2</v>
      </c>
      <c r="AE81" s="52">
        <v>6.5381968341362704</v>
      </c>
      <c r="AF81" s="52">
        <v>2.2330000000000001</v>
      </c>
      <c r="AG81" s="52">
        <v>9.5000000000000001E-2</v>
      </c>
      <c r="AH81" s="52">
        <v>4.2543663233318405</v>
      </c>
      <c r="AI81" s="52">
        <v>1.4354999999999998</v>
      </c>
      <c r="AJ81" s="52">
        <v>6.6600000000000006E-2</v>
      </c>
      <c r="AK81" s="52">
        <v>4.639498432601882</v>
      </c>
      <c r="AL81" s="52">
        <v>2.3169</v>
      </c>
      <c r="AM81" s="52">
        <v>0.105</v>
      </c>
      <c r="AN81" s="52">
        <v>4.5319176485821577</v>
      </c>
      <c r="AO81" s="52">
        <v>2.3170000000000002</v>
      </c>
      <c r="AP81" s="52">
        <v>0.105</v>
      </c>
      <c r="AQ81" s="52">
        <v>4.5317220543806647</v>
      </c>
      <c r="AR81" s="52">
        <v>1.4925999999999999</v>
      </c>
      <c r="AS81" s="52">
        <v>0.105</v>
      </c>
      <c r="AT81" s="52">
        <v>7.0347045424092185</v>
      </c>
      <c r="AU81" s="52">
        <v>1.1509</v>
      </c>
      <c r="AV81" s="52">
        <v>7.4999999999999997E-2</v>
      </c>
      <c r="AW81" s="52">
        <v>6.5166391519680245</v>
      </c>
      <c r="AX81" s="52">
        <v>2.1284999999999998</v>
      </c>
      <c r="AY81" s="52">
        <v>9.01E-2</v>
      </c>
      <c r="AZ81" s="52">
        <v>4.233027953958187</v>
      </c>
      <c r="BA81" s="52">
        <v>1.3238000000000001</v>
      </c>
      <c r="BB81" s="52">
        <v>5.5199999999999999E-2</v>
      </c>
      <c r="BC81" s="52">
        <v>4.1698141713249735</v>
      </c>
      <c r="BD81" s="52">
        <v>1.2746</v>
      </c>
      <c r="BE81" s="52">
        <v>5.5E-2</v>
      </c>
      <c r="BF81" s="52">
        <v>4.3150792405460541</v>
      </c>
      <c r="BG81" s="52">
        <v>2.3416000000000001</v>
      </c>
      <c r="BH81" s="52">
        <v>0.1226</v>
      </c>
      <c r="BI81" s="52">
        <v>5.2357362487188244</v>
      </c>
      <c r="BJ81" s="52">
        <v>2.1236000000000002</v>
      </c>
      <c r="BK81" s="52">
        <v>9.7000000000000003E-2</v>
      </c>
      <c r="BL81" s="52">
        <v>4.5677152006027493</v>
      </c>
      <c r="BM81" s="52">
        <v>1.7534000000000001</v>
      </c>
      <c r="BN81" s="52">
        <v>0</v>
      </c>
      <c r="BO81" s="52">
        <v>0</v>
      </c>
      <c r="BP81" s="52">
        <v>0.1021</v>
      </c>
      <c r="BQ81" s="52">
        <v>0</v>
      </c>
      <c r="BR81" s="52">
        <v>3.2800000000000003E-2</v>
      </c>
      <c r="BS81" s="52">
        <v>0.48609999999999998</v>
      </c>
      <c r="BT81" s="52">
        <v>9.2499999999999999E-2</v>
      </c>
      <c r="BU81" s="52">
        <v>0.53900000000000003</v>
      </c>
      <c r="BV81" s="52">
        <v>0.41170000000000001</v>
      </c>
      <c r="BW81" s="95">
        <v>0.20350000000000001</v>
      </c>
      <c r="BX81" s="32">
        <v>0.15160000000000001</v>
      </c>
      <c r="BY81" s="116">
        <v>0.43859999999999999</v>
      </c>
      <c r="BZ81" s="32">
        <v>0.40539999999999998</v>
      </c>
      <c r="CA81" s="32">
        <v>0.12790000000000001</v>
      </c>
      <c r="CB81" s="32">
        <v>0.28170000000000001</v>
      </c>
      <c r="CC81" s="52">
        <v>0.51950000000000007</v>
      </c>
      <c r="CD81" s="52">
        <v>0.30779999999999996</v>
      </c>
      <c r="CE81" s="95">
        <v>0.75390000000000001</v>
      </c>
      <c r="CF81" s="52">
        <v>0.5837</v>
      </c>
      <c r="CG81" s="52">
        <v>0.5615</v>
      </c>
      <c r="CH81" s="52">
        <v>0.51770000000000005</v>
      </c>
      <c r="CI81" s="32">
        <v>1.0952999999999999</v>
      </c>
      <c r="CJ81" s="32">
        <v>1.9599999999999999E-2</v>
      </c>
      <c r="CK81" s="32">
        <v>0.45740000000000003</v>
      </c>
      <c r="CL81" s="32">
        <v>0.45739999999999997</v>
      </c>
      <c r="CM81" s="32">
        <f>0.6858+1</f>
        <v>1.6858</v>
      </c>
      <c r="CN81" s="32">
        <f>0.0986+0.1301</f>
        <v>0.22869999999999999</v>
      </c>
      <c r="CO81" s="32">
        <f>0.181+0.1</f>
        <v>0.28100000000000003</v>
      </c>
      <c r="CP81" s="32">
        <f>0.6827+1</f>
        <v>1.6827000000000001</v>
      </c>
      <c r="CQ81" s="32">
        <f>0.6869+1</f>
        <v>1.6869000000000001</v>
      </c>
    </row>
    <row r="82" spans="1:95" ht="15.75" x14ac:dyDescent="0.25">
      <c r="A82" s="65" t="s">
        <v>123</v>
      </c>
      <c r="B82" s="52">
        <v>0.36309999999999998</v>
      </c>
      <c r="C82" s="52">
        <v>0</v>
      </c>
      <c r="D82" s="52">
        <v>0</v>
      </c>
      <c r="E82" s="52">
        <v>8.7499999999999994E-2</v>
      </c>
      <c r="F82" s="52">
        <v>0</v>
      </c>
      <c r="G82" s="52">
        <v>0</v>
      </c>
      <c r="H82" s="52">
        <v>8.4099999999999994E-2</v>
      </c>
      <c r="I82" s="52">
        <v>0</v>
      </c>
      <c r="J82" s="52">
        <v>0</v>
      </c>
      <c r="K82" s="52">
        <v>0.1</v>
      </c>
      <c r="L82" s="52">
        <v>0</v>
      </c>
      <c r="M82" s="162">
        <v>0</v>
      </c>
      <c r="N82" s="52">
        <v>0.15029999999999999</v>
      </c>
      <c r="O82" s="52">
        <v>0.02</v>
      </c>
      <c r="P82" s="52">
        <v>13.306719893546243</v>
      </c>
      <c r="Q82" s="52">
        <v>-7.3300000000000004E-2</v>
      </c>
      <c r="R82" s="52">
        <v>0</v>
      </c>
      <c r="S82" s="52">
        <v>0</v>
      </c>
      <c r="T82" s="52">
        <v>0.38030000000000003</v>
      </c>
      <c r="U82" s="52">
        <v>0</v>
      </c>
      <c r="V82" s="52">
        <v>0</v>
      </c>
      <c r="W82" s="52">
        <v>0.47210000000000002</v>
      </c>
      <c r="X82" s="52">
        <v>0</v>
      </c>
      <c r="Y82" s="52">
        <v>0</v>
      </c>
      <c r="Z82" s="52">
        <v>0.15540000000000001</v>
      </c>
      <c r="AA82" s="52">
        <v>0</v>
      </c>
      <c r="AB82" s="52">
        <v>0</v>
      </c>
      <c r="AC82" s="52">
        <v>3.04E-2</v>
      </c>
      <c r="AD82" s="52">
        <v>0</v>
      </c>
      <c r="AE82" s="52">
        <v>0</v>
      </c>
      <c r="AF82" s="52">
        <v>2.1875</v>
      </c>
      <c r="AG82" s="52">
        <v>0</v>
      </c>
      <c r="AH82" s="52">
        <v>0</v>
      </c>
      <c r="AI82" s="52">
        <v>2.1391</v>
      </c>
      <c r="AJ82" s="52">
        <v>0</v>
      </c>
      <c r="AK82" s="52">
        <v>0</v>
      </c>
      <c r="AL82" s="52">
        <v>4.0000000000000002E-4</v>
      </c>
      <c r="AM82" s="52">
        <v>0</v>
      </c>
      <c r="AN82" s="52">
        <v>0</v>
      </c>
      <c r="AO82" s="52">
        <v>2.7502</v>
      </c>
      <c r="AP82" s="52">
        <v>0</v>
      </c>
      <c r="AQ82" s="52">
        <v>0</v>
      </c>
      <c r="AR82" s="52">
        <v>3.1032000000000002</v>
      </c>
      <c r="AS82" s="52">
        <v>0</v>
      </c>
      <c r="AT82" s="52">
        <v>0</v>
      </c>
      <c r="AU82" s="52">
        <v>1.3736999999999999</v>
      </c>
      <c r="AV82" s="52">
        <v>0</v>
      </c>
      <c r="AW82" s="52">
        <v>0</v>
      </c>
      <c r="AX82" s="52">
        <v>1.7968</v>
      </c>
      <c r="AY82" s="52">
        <v>0</v>
      </c>
      <c r="AZ82" s="52">
        <v>0</v>
      </c>
      <c r="BA82" s="52">
        <v>2.0129000000000001</v>
      </c>
      <c r="BB82" s="52">
        <v>0</v>
      </c>
      <c r="BC82" s="52">
        <v>0</v>
      </c>
      <c r="BD82" s="52">
        <v>1.5422</v>
      </c>
      <c r="BE82" s="52">
        <v>0</v>
      </c>
      <c r="BF82" s="52">
        <v>0</v>
      </c>
      <c r="BG82" s="52">
        <v>1.3785000000000001</v>
      </c>
      <c r="BH82" s="52">
        <v>0</v>
      </c>
      <c r="BI82" s="52">
        <v>0</v>
      </c>
      <c r="BJ82" s="52">
        <v>1.3619000000000001</v>
      </c>
      <c r="BK82" s="52">
        <v>0</v>
      </c>
      <c r="BL82" s="52">
        <v>0</v>
      </c>
      <c r="BM82" s="52">
        <v>1.0266999999999999</v>
      </c>
      <c r="BN82" s="52">
        <v>0</v>
      </c>
      <c r="BO82" s="52">
        <v>0</v>
      </c>
      <c r="BP82" s="52">
        <v>0</v>
      </c>
      <c r="BQ82" s="52">
        <v>0</v>
      </c>
      <c r="BR82" s="52">
        <v>0</v>
      </c>
      <c r="BS82" s="52">
        <v>0</v>
      </c>
      <c r="BT82" s="52">
        <v>0</v>
      </c>
      <c r="BU82" s="52">
        <v>0</v>
      </c>
      <c r="BV82" s="52">
        <v>0</v>
      </c>
      <c r="BW82" s="95">
        <v>0</v>
      </c>
      <c r="BX82" s="116">
        <v>0</v>
      </c>
      <c r="BY82" s="116">
        <v>0</v>
      </c>
      <c r="BZ82" s="116">
        <v>0</v>
      </c>
      <c r="CA82" s="52">
        <v>0</v>
      </c>
      <c r="CB82" s="52">
        <v>0</v>
      </c>
      <c r="CC82" s="52">
        <v>0</v>
      </c>
      <c r="CD82" s="52">
        <v>0</v>
      </c>
      <c r="CE82" s="95">
        <v>0</v>
      </c>
      <c r="CF82" s="52">
        <v>0</v>
      </c>
      <c r="CG82" s="52">
        <v>0</v>
      </c>
      <c r="CH82" s="52">
        <v>0</v>
      </c>
      <c r="CI82" s="32">
        <v>0</v>
      </c>
      <c r="CJ82" s="32">
        <v>0</v>
      </c>
      <c r="CK82" s="32">
        <v>0</v>
      </c>
      <c r="CL82" s="32">
        <v>0</v>
      </c>
      <c r="CM82" s="32">
        <v>0</v>
      </c>
      <c r="CN82" s="32">
        <v>0</v>
      </c>
      <c r="CO82" s="32">
        <v>0</v>
      </c>
      <c r="CP82" s="32">
        <v>0</v>
      </c>
      <c r="CQ82" s="32">
        <v>0</v>
      </c>
    </row>
    <row r="83" spans="1:95" ht="15.75" x14ac:dyDescent="0.25">
      <c r="A83" s="63" t="s">
        <v>124</v>
      </c>
      <c r="B83" s="64">
        <v>8.6722999999999999</v>
      </c>
      <c r="C83" s="64">
        <v>0</v>
      </c>
      <c r="D83" s="64">
        <v>0</v>
      </c>
      <c r="E83" s="64">
        <v>0.64349999999999996</v>
      </c>
      <c r="F83" s="64">
        <v>3.3000000000000002E-2</v>
      </c>
      <c r="G83" s="64">
        <v>5.1282051282051286</v>
      </c>
      <c r="H83" s="64">
        <v>0.62439999999999996</v>
      </c>
      <c r="I83" s="64">
        <v>4.0000000000000001E-3</v>
      </c>
      <c r="J83" s="64">
        <v>0.64061499039077519</v>
      </c>
      <c r="K83" s="64">
        <v>0.59850000000000003</v>
      </c>
      <c r="L83" s="64">
        <v>1.1599999999999999E-2</v>
      </c>
      <c r="M83" s="64">
        <v>1.93817878028404</v>
      </c>
      <c r="N83" s="64">
        <v>1.0245</v>
      </c>
      <c r="O83" s="64">
        <v>0.04</v>
      </c>
      <c r="P83" s="64">
        <v>3.9043435822352368</v>
      </c>
      <c r="Q83" s="64">
        <v>0.54239999999999999</v>
      </c>
      <c r="R83" s="64">
        <v>0.02</v>
      </c>
      <c r="S83" s="64">
        <v>3.6873156342182889</v>
      </c>
      <c r="T83" s="64">
        <v>1.633</v>
      </c>
      <c r="U83" s="64">
        <v>0.05</v>
      </c>
      <c r="V83" s="64">
        <v>3.0618493570116354</v>
      </c>
      <c r="W83" s="64">
        <v>1.2659</v>
      </c>
      <c r="X83" s="64">
        <v>0.03</v>
      </c>
      <c r="Y83" s="64">
        <v>2.3698554388182318</v>
      </c>
      <c r="Z83" s="64">
        <v>0.82499999999999996</v>
      </c>
      <c r="AA83" s="64">
        <v>0.03</v>
      </c>
      <c r="AB83" s="64">
        <v>3.6363636363636362</v>
      </c>
      <c r="AC83" s="64">
        <v>1.4834000000000001</v>
      </c>
      <c r="AD83" s="64">
        <v>9.5000000000000001E-2</v>
      </c>
      <c r="AE83" s="64">
        <v>6.404206552514494</v>
      </c>
      <c r="AF83" s="64">
        <v>4.4204999999999997</v>
      </c>
      <c r="AG83" s="64">
        <v>9.5000000000000001E-2</v>
      </c>
      <c r="AH83" s="64">
        <v>2.1490781585793464</v>
      </c>
      <c r="AI83" s="64">
        <v>3.5745999999999998</v>
      </c>
      <c r="AJ83" s="64">
        <v>6.6600000000000006E-2</v>
      </c>
      <c r="AK83" s="64">
        <v>1.8631455267722266</v>
      </c>
      <c r="AL83" s="64">
        <v>2.3172999999999999</v>
      </c>
      <c r="AM83" s="64">
        <v>0.105</v>
      </c>
      <c r="AN83" s="64">
        <v>4.5311353730634787</v>
      </c>
      <c r="AO83" s="64">
        <v>5.0671999999999997</v>
      </c>
      <c r="AP83" s="64">
        <v>0.105</v>
      </c>
      <c r="AQ83" s="64">
        <v>2.0721502999684245</v>
      </c>
      <c r="AR83" s="64">
        <v>4.5958000000000006</v>
      </c>
      <c r="AS83" s="64">
        <v>0.105</v>
      </c>
      <c r="AT83" s="64">
        <v>2.2846947212672437</v>
      </c>
      <c r="AU83" s="64">
        <v>2.5246</v>
      </c>
      <c r="AV83" s="64">
        <v>7.4999999999999997E-2</v>
      </c>
      <c r="AW83" s="64">
        <v>2.9707676463598194</v>
      </c>
      <c r="AX83" s="64">
        <v>3.9253</v>
      </c>
      <c r="AY83" s="64">
        <v>9.01E-2</v>
      </c>
      <c r="AZ83" s="64">
        <v>2.295365959289736</v>
      </c>
      <c r="BA83" s="64">
        <v>3.3367000000000004</v>
      </c>
      <c r="BB83" s="64">
        <v>5.5199999999999999E-2</v>
      </c>
      <c r="BC83" s="64">
        <v>1.6543291275811427</v>
      </c>
      <c r="BD83" s="64">
        <v>2.8167999999999997</v>
      </c>
      <c r="BE83" s="64">
        <v>5.5E-2</v>
      </c>
      <c r="BF83" s="64">
        <v>1.9525702925305315</v>
      </c>
      <c r="BG83" s="64">
        <v>3.7201000000000004</v>
      </c>
      <c r="BH83" s="64">
        <v>0.1226</v>
      </c>
      <c r="BI83" s="64">
        <v>3.2956103330555626</v>
      </c>
      <c r="BJ83" s="64">
        <v>3.4855</v>
      </c>
      <c r="BK83" s="64">
        <v>9.7000000000000003E-2</v>
      </c>
      <c r="BL83" s="64">
        <v>2.7829579687275858</v>
      </c>
      <c r="BM83" s="64">
        <v>2.7801</v>
      </c>
      <c r="BN83" s="64">
        <v>0</v>
      </c>
      <c r="BO83" s="64">
        <v>0</v>
      </c>
      <c r="BP83" s="64">
        <v>0.1021</v>
      </c>
      <c r="BQ83" s="64">
        <v>0</v>
      </c>
      <c r="BR83" s="64">
        <v>3.2800000000000003E-2</v>
      </c>
      <c r="BS83" s="64">
        <v>0.48609999999999998</v>
      </c>
      <c r="BT83" s="64">
        <v>9.2499999999999999E-2</v>
      </c>
      <c r="BU83" s="33">
        <v>0.53900000000000003</v>
      </c>
      <c r="BV83" s="64">
        <v>0.41170000000000001</v>
      </c>
      <c r="BW83" s="96">
        <v>0.20350000000000001</v>
      </c>
      <c r="BX83" s="96">
        <v>0.15160000000000001</v>
      </c>
      <c r="BY83" s="96">
        <v>0.43859999999999999</v>
      </c>
      <c r="BZ83" s="96">
        <v>0.40539999999999998</v>
      </c>
      <c r="CA83" s="96">
        <v>0.12790000000000001</v>
      </c>
      <c r="CB83" s="96">
        <v>0.28170000000000001</v>
      </c>
      <c r="CC83" s="96">
        <v>0.51950000000000007</v>
      </c>
      <c r="CD83" s="96">
        <v>0.30779999999999996</v>
      </c>
      <c r="CE83" s="96">
        <v>0.75390000000000001</v>
      </c>
      <c r="CF83" s="64">
        <v>0.5837</v>
      </c>
      <c r="CG83" s="64">
        <v>0.5615</v>
      </c>
      <c r="CH83" s="64">
        <v>0.51770000000000005</v>
      </c>
      <c r="CI83" s="64">
        <v>1.0952999999999999</v>
      </c>
      <c r="CJ83" s="64">
        <f>SUM(CJ81:CJ82)</f>
        <v>1.9599999999999999E-2</v>
      </c>
      <c r="CK83" s="64">
        <v>0.45740000000000003</v>
      </c>
      <c r="CL83" s="64">
        <v>0.45739999999999997</v>
      </c>
      <c r="CM83" s="33">
        <f>SUM(CM81:CM82)</f>
        <v>1.6858</v>
      </c>
      <c r="CN83" s="33">
        <f>SUM(CN81:CN82)</f>
        <v>0.22869999999999999</v>
      </c>
      <c r="CO83" s="33">
        <f>SUM(CO81:CO82)</f>
        <v>0.28100000000000003</v>
      </c>
      <c r="CP83" s="33">
        <f>SUM(CP81:CP82)</f>
        <v>1.6827000000000001</v>
      </c>
      <c r="CQ83" s="33">
        <f>SUM(CQ81:CQ82)</f>
        <v>1.6869000000000001</v>
      </c>
    </row>
    <row r="84" spans="1:95" ht="15.75" x14ac:dyDescent="0.25">
      <c r="A84" s="30" t="s">
        <v>125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>
        <v>0</v>
      </c>
      <c r="AA84" s="23">
        <v>0</v>
      </c>
      <c r="AB84" s="23">
        <v>0</v>
      </c>
      <c r="AC84" s="23"/>
      <c r="AD84" s="23"/>
      <c r="AE84" s="23"/>
      <c r="AF84" s="23">
        <v>0</v>
      </c>
      <c r="AG84" s="23">
        <v>0</v>
      </c>
      <c r="AH84" s="23">
        <v>0</v>
      </c>
      <c r="AI84" s="25"/>
      <c r="AJ84" s="25"/>
      <c r="AK84" s="15"/>
      <c r="AL84" s="23">
        <v>0</v>
      </c>
      <c r="AM84" s="23">
        <v>0</v>
      </c>
      <c r="AN84" s="23">
        <v>0</v>
      </c>
      <c r="AO84" s="23"/>
      <c r="AP84" s="23"/>
      <c r="AQ84" s="23"/>
      <c r="AR84" s="25"/>
      <c r="AS84" s="25"/>
      <c r="AT84" s="15"/>
      <c r="AU84" s="15"/>
      <c r="AV84" s="15"/>
      <c r="AW84" s="12"/>
      <c r="AX84" s="25"/>
      <c r="AY84" s="25"/>
      <c r="AZ84" s="15"/>
      <c r="BA84" s="15"/>
      <c r="BB84" s="15"/>
      <c r="BC84" s="12"/>
      <c r="BD84" s="23"/>
      <c r="BE84" s="23"/>
      <c r="BF84" s="81"/>
      <c r="BG84" s="15"/>
      <c r="BH84" s="15"/>
      <c r="BI84" s="12"/>
      <c r="BJ84" s="23"/>
      <c r="BK84" s="23"/>
      <c r="BL84" s="23"/>
      <c r="BM84" s="23"/>
      <c r="BN84" s="23"/>
      <c r="BO84" s="23"/>
      <c r="BP84" s="23"/>
      <c r="BQ84" s="23"/>
      <c r="BR84" s="56"/>
      <c r="BS84" s="68"/>
      <c r="BT84" s="56"/>
      <c r="BU84" s="78"/>
      <c r="BV84" s="56"/>
      <c r="BW84" s="90"/>
      <c r="BX84" s="78"/>
      <c r="BY84" s="112"/>
      <c r="BZ84" s="78"/>
      <c r="CA84" s="78"/>
      <c r="CB84" s="78"/>
      <c r="CC84" s="23"/>
      <c r="CD84" s="23"/>
      <c r="CE84" s="79"/>
      <c r="CF84" s="23"/>
      <c r="CG84" s="23"/>
      <c r="CH84" s="23"/>
      <c r="CI84" s="78"/>
      <c r="CJ84" s="78"/>
      <c r="CK84" s="78"/>
      <c r="CL84" s="78"/>
      <c r="CM84" s="78"/>
      <c r="CN84" s="78"/>
      <c r="CO84" s="78"/>
      <c r="CP84" s="171"/>
      <c r="CQ84" s="171"/>
    </row>
    <row r="85" spans="1:95" ht="15.75" x14ac:dyDescent="0.25">
      <c r="A85" s="46" t="s">
        <v>126</v>
      </c>
      <c r="B85" s="47">
        <v>30.707599999999999</v>
      </c>
      <c r="C85" s="47">
        <v>1E-4</v>
      </c>
      <c r="D85" s="47">
        <v>3.2565228151988434E-4</v>
      </c>
      <c r="E85" s="47">
        <v>32.626600000000003</v>
      </c>
      <c r="F85" s="47">
        <v>0</v>
      </c>
      <c r="G85" s="47">
        <v>0</v>
      </c>
      <c r="H85" s="47">
        <v>17.7559</v>
      </c>
      <c r="I85" s="47">
        <v>0</v>
      </c>
      <c r="J85" s="47">
        <v>0</v>
      </c>
      <c r="K85" s="47">
        <v>17.605699999999999</v>
      </c>
      <c r="L85" s="47">
        <v>0</v>
      </c>
      <c r="M85" s="47">
        <v>0</v>
      </c>
      <c r="N85" s="47">
        <v>30.0962</v>
      </c>
      <c r="O85" s="47">
        <v>5.7736000000000001</v>
      </c>
      <c r="P85" s="47">
        <v>19.183817226094991</v>
      </c>
      <c r="Q85" s="47">
        <v>19.234100000000002</v>
      </c>
      <c r="R85" s="47">
        <v>2.7948</v>
      </c>
      <c r="S85" s="47">
        <v>14.530443327215725</v>
      </c>
      <c r="T85" s="47">
        <v>134.72989999999999</v>
      </c>
      <c r="U85" s="47">
        <v>21.179099999999998</v>
      </c>
      <c r="V85" s="47">
        <v>15.719673212850301</v>
      </c>
      <c r="W85" s="47">
        <v>88.667199999999994</v>
      </c>
      <c r="X85" s="47">
        <v>13.0869</v>
      </c>
      <c r="Y85" s="47">
        <v>14.759572874749626</v>
      </c>
      <c r="Z85" s="47">
        <v>40.403799999999997</v>
      </c>
      <c r="AA85" s="47">
        <v>4.6500000000000004</v>
      </c>
      <c r="AB85" s="47">
        <v>11.508818477469942</v>
      </c>
      <c r="AC85" s="47">
        <v>220.3134</v>
      </c>
      <c r="AD85" s="47">
        <v>35.19</v>
      </c>
      <c r="AE85" s="47">
        <v>15.972700707265194</v>
      </c>
      <c r="AF85" s="47">
        <v>197.44929999999999</v>
      </c>
      <c r="AG85" s="47">
        <v>35.035200000000003</v>
      </c>
      <c r="AH85" s="47">
        <v>17.743896787681702</v>
      </c>
      <c r="AI85" s="47">
        <v>149.73580000000001</v>
      </c>
      <c r="AJ85" s="47">
        <v>25.8</v>
      </c>
      <c r="AK85" s="47">
        <v>17.230348386958898</v>
      </c>
      <c r="AL85" s="47">
        <v>238.1962</v>
      </c>
      <c r="AM85" s="47">
        <v>40.002400000000002</v>
      </c>
      <c r="AN85" s="47">
        <v>16.793886720275133</v>
      </c>
      <c r="AO85" s="47"/>
      <c r="AP85" s="47"/>
      <c r="AQ85" s="47"/>
      <c r="AR85" s="47">
        <v>224.02209999999999</v>
      </c>
      <c r="AS85" s="47">
        <v>41.150700000000001</v>
      </c>
      <c r="AT85" s="47">
        <v>18.369035912081888</v>
      </c>
      <c r="AU85" s="47">
        <v>188.45359999999999</v>
      </c>
      <c r="AV85" s="47">
        <v>40.500100000000003</v>
      </c>
      <c r="AW85" s="20">
        <v>21.49075422279012</v>
      </c>
      <c r="AX85" s="47">
        <v>234.97970000000001</v>
      </c>
      <c r="AY85" s="47">
        <v>42.371600000000001</v>
      </c>
      <c r="AZ85" s="47">
        <v>18.03202574520267</v>
      </c>
      <c r="BA85" s="15">
        <v>231.29509999999999</v>
      </c>
      <c r="BB85" s="15">
        <v>41.036099999999998</v>
      </c>
      <c r="BC85" s="12">
        <v>17.741880394353359</v>
      </c>
      <c r="BD85" s="20">
        <v>227.42570000000001</v>
      </c>
      <c r="BE85" s="20">
        <v>40.638399999999997</v>
      </c>
      <c r="BF85" s="20">
        <v>17.868868821773439</v>
      </c>
      <c r="BG85" s="47">
        <v>227.46729999999999</v>
      </c>
      <c r="BH85" s="47">
        <v>41.890799999999999</v>
      </c>
      <c r="BI85" s="20">
        <v>18.41618553523957</v>
      </c>
      <c r="BJ85" s="47">
        <v>204.0856</v>
      </c>
      <c r="BK85" s="47">
        <v>40.744799999999998</v>
      </c>
      <c r="BL85" s="20">
        <v>19.964563888877997</v>
      </c>
      <c r="BM85" s="20"/>
      <c r="BN85" s="20"/>
      <c r="BO85" s="20"/>
      <c r="BP85" s="82">
        <v>23.097899999999999</v>
      </c>
      <c r="BQ85" s="47"/>
      <c r="BR85" s="56"/>
      <c r="BS85" s="68"/>
      <c r="BT85" s="56"/>
      <c r="BU85" s="48"/>
      <c r="BV85" s="56"/>
      <c r="BW85" s="99"/>
      <c r="BX85" s="48"/>
      <c r="BY85" s="120"/>
      <c r="BZ85" s="48"/>
      <c r="CA85" s="48"/>
      <c r="CB85" s="48"/>
      <c r="CC85" s="47"/>
      <c r="CD85" s="47"/>
      <c r="CE85" s="100"/>
      <c r="CF85" s="47"/>
      <c r="CG85" s="47"/>
      <c r="CH85" s="47"/>
      <c r="CI85" s="48"/>
      <c r="CJ85" s="48"/>
      <c r="CK85" s="48"/>
      <c r="CL85" s="48"/>
      <c r="CM85" s="48"/>
      <c r="CN85" s="48"/>
      <c r="CO85" s="48"/>
      <c r="CP85" s="171"/>
      <c r="CQ85" s="171"/>
    </row>
    <row r="86" spans="1:95" ht="15.75" x14ac:dyDescent="0.25">
      <c r="A86" s="48" t="s">
        <v>127</v>
      </c>
      <c r="B86" s="47">
        <v>0</v>
      </c>
      <c r="C86" s="47">
        <v>0</v>
      </c>
      <c r="D86" s="47">
        <v>0</v>
      </c>
      <c r="E86" s="47">
        <v>0</v>
      </c>
      <c r="F86" s="47">
        <v>0</v>
      </c>
      <c r="G86" s="47">
        <v>0</v>
      </c>
      <c r="H86" s="47">
        <v>57.012</v>
      </c>
      <c r="I86" s="47">
        <v>0</v>
      </c>
      <c r="J86" s="47">
        <v>0</v>
      </c>
      <c r="K86" s="47">
        <v>61.7654</v>
      </c>
      <c r="L86" s="47">
        <v>0</v>
      </c>
      <c r="M86" s="47">
        <v>0</v>
      </c>
      <c r="N86" s="47">
        <v>10.1389</v>
      </c>
      <c r="O86" s="47">
        <v>0</v>
      </c>
      <c r="P86" s="47">
        <v>0</v>
      </c>
      <c r="Q86" s="47">
        <v>42.334099999999999</v>
      </c>
      <c r="R86" s="47">
        <v>0</v>
      </c>
      <c r="S86" s="47">
        <v>0</v>
      </c>
      <c r="T86" s="47">
        <v>100.8556</v>
      </c>
      <c r="U86" s="47">
        <v>0</v>
      </c>
      <c r="V86" s="47">
        <v>0</v>
      </c>
      <c r="W86" s="47">
        <v>55.630800000000001</v>
      </c>
      <c r="X86" s="47">
        <v>0</v>
      </c>
      <c r="Y86" s="47">
        <v>0</v>
      </c>
      <c r="Z86" s="47">
        <v>44.449399999999997</v>
      </c>
      <c r="AA86" s="47">
        <v>0</v>
      </c>
      <c r="AB86" s="47">
        <v>0</v>
      </c>
      <c r="AC86" s="47">
        <v>123.6217</v>
      </c>
      <c r="AD86" s="47">
        <v>0</v>
      </c>
      <c r="AE86" s="47">
        <v>0</v>
      </c>
      <c r="AF86" s="47">
        <v>41.6372</v>
      </c>
      <c r="AG86" s="47">
        <v>0</v>
      </c>
      <c r="AH86" s="47">
        <v>0</v>
      </c>
      <c r="AI86" s="47">
        <v>27.340700000000002</v>
      </c>
      <c r="AJ86" s="47">
        <v>0</v>
      </c>
      <c r="AK86" s="47">
        <v>0</v>
      </c>
      <c r="AL86" s="47">
        <v>76.811599999999999</v>
      </c>
      <c r="AM86" s="47">
        <v>0</v>
      </c>
      <c r="AN86" s="47">
        <v>0</v>
      </c>
      <c r="AO86" s="47"/>
      <c r="AP86" s="47"/>
      <c r="AQ86" s="47"/>
      <c r="AR86" s="47">
        <v>34.586399999999998</v>
      </c>
      <c r="AS86" s="47">
        <v>0</v>
      </c>
      <c r="AT86" s="47">
        <v>0</v>
      </c>
      <c r="AU86" s="47">
        <v>21.770299999999999</v>
      </c>
      <c r="AV86" s="47">
        <v>0</v>
      </c>
      <c r="AW86" s="20">
        <v>0</v>
      </c>
      <c r="AX86" s="47">
        <v>35.561300000000003</v>
      </c>
      <c r="AY86" s="47">
        <v>0</v>
      </c>
      <c r="AZ86" s="47">
        <v>0</v>
      </c>
      <c r="BA86" s="15">
        <v>40.482300000000002</v>
      </c>
      <c r="BB86" s="15">
        <v>0</v>
      </c>
      <c r="BC86" s="12">
        <v>0</v>
      </c>
      <c r="BD86" s="20">
        <v>262.43340000000001</v>
      </c>
      <c r="BE86" s="20">
        <v>0</v>
      </c>
      <c r="BF86" s="20">
        <v>0</v>
      </c>
      <c r="BG86" s="47">
        <v>61.447000000000003</v>
      </c>
      <c r="BH86" s="47">
        <v>0</v>
      </c>
      <c r="BI86" s="20">
        <v>0</v>
      </c>
      <c r="BJ86" s="47">
        <v>249.34389999999999</v>
      </c>
      <c r="BK86" s="47">
        <v>0</v>
      </c>
      <c r="BL86" s="20">
        <v>0</v>
      </c>
      <c r="BM86" s="20"/>
      <c r="BN86" s="20"/>
      <c r="BO86" s="20"/>
      <c r="BP86" s="82">
        <v>0</v>
      </c>
      <c r="BQ86" s="47"/>
      <c r="BR86" s="56"/>
      <c r="BS86" s="68"/>
      <c r="BT86" s="56"/>
      <c r="BU86" s="48"/>
      <c r="BV86" s="56"/>
      <c r="BW86" s="100"/>
      <c r="BX86" s="48"/>
      <c r="BY86" s="121"/>
      <c r="BZ86" s="48"/>
      <c r="CA86" s="48"/>
      <c r="CB86" s="48"/>
      <c r="CC86" s="47"/>
      <c r="CD86" s="47"/>
      <c r="CE86" s="100"/>
      <c r="CF86" s="47"/>
      <c r="CG86" s="47"/>
      <c r="CH86" s="47"/>
      <c r="CI86" s="48"/>
      <c r="CJ86" s="48"/>
      <c r="CK86" s="48"/>
      <c r="CL86" s="48"/>
      <c r="CM86" s="48"/>
      <c r="CN86" s="48"/>
      <c r="CO86" s="48"/>
      <c r="CP86" s="171"/>
      <c r="CQ86" s="171"/>
    </row>
    <row r="87" spans="1:95" ht="15.75" x14ac:dyDescent="0.25">
      <c r="A87" s="11" t="s">
        <v>128</v>
      </c>
      <c r="B87" s="12">
        <v>0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74.767899999999997</v>
      </c>
      <c r="I87" s="12">
        <v>0</v>
      </c>
      <c r="J87" s="12">
        <v>0</v>
      </c>
      <c r="K87" s="12">
        <v>79.371099999999998</v>
      </c>
      <c r="L87" s="12">
        <v>0</v>
      </c>
      <c r="M87" s="12">
        <v>0</v>
      </c>
      <c r="N87" s="12">
        <v>40.235100000000003</v>
      </c>
      <c r="O87" s="12">
        <v>5.7736000000000001</v>
      </c>
      <c r="P87" s="12">
        <v>14.349659874090035</v>
      </c>
      <c r="Q87" s="12">
        <v>61.568199999999997</v>
      </c>
      <c r="R87" s="12">
        <v>2.7948</v>
      </c>
      <c r="S87" s="12">
        <v>4.5393563560409431</v>
      </c>
      <c r="T87" s="12">
        <v>235.58549999999997</v>
      </c>
      <c r="U87" s="12">
        <v>21.179099999999998</v>
      </c>
      <c r="V87" s="12">
        <v>8.9899845279102504</v>
      </c>
      <c r="W87" s="12">
        <v>144.298</v>
      </c>
      <c r="X87" s="12">
        <v>13.0869</v>
      </c>
      <c r="Y87" s="12">
        <v>9.0693564706371532</v>
      </c>
      <c r="Z87" s="12">
        <v>84.853200000000001</v>
      </c>
      <c r="AA87" s="12">
        <v>4.6500000000000004</v>
      </c>
      <c r="AB87" s="12">
        <v>5.4800526085050416</v>
      </c>
      <c r="AC87" s="12">
        <v>343.93509999999998</v>
      </c>
      <c r="AD87" s="12">
        <v>35.19</v>
      </c>
      <c r="AE87" s="12">
        <v>10.23158148150625</v>
      </c>
      <c r="AF87" s="12">
        <v>239.0865</v>
      </c>
      <c r="AG87" s="12">
        <v>35.035200000000003</v>
      </c>
      <c r="AH87" s="12">
        <v>14.653775934651266</v>
      </c>
      <c r="AI87" s="12">
        <v>177.07650000000001</v>
      </c>
      <c r="AJ87" s="12">
        <v>25.8</v>
      </c>
      <c r="AK87" s="12">
        <v>14.569973994290603</v>
      </c>
      <c r="AL87" s="12">
        <v>315.00779999999997</v>
      </c>
      <c r="AM87" s="12">
        <v>40.002400000000002</v>
      </c>
      <c r="AN87" s="12">
        <v>12.698860155208857</v>
      </c>
      <c r="AO87" s="12">
        <v>321.82100000000003</v>
      </c>
      <c r="AP87" s="12">
        <v>40.002400000000002</v>
      </c>
      <c r="AQ87" s="12">
        <v>12.430015443367585</v>
      </c>
      <c r="AR87" s="12">
        <v>258.60849999999999</v>
      </c>
      <c r="AS87" s="12">
        <v>41.150700000000001</v>
      </c>
      <c r="AT87" s="12">
        <v>15.912354002285308</v>
      </c>
      <c r="AU87" s="12">
        <v>210.22389999999999</v>
      </c>
      <c r="AV87" s="12">
        <v>40.500100000000003</v>
      </c>
      <c r="AW87" s="12">
        <v>19.265221509067239</v>
      </c>
      <c r="AX87" s="12">
        <v>270.541</v>
      </c>
      <c r="AY87" s="12">
        <v>42.371600000000001</v>
      </c>
      <c r="AZ87" s="12">
        <v>15.661803571362567</v>
      </c>
      <c r="BA87" s="12">
        <v>271.7774</v>
      </c>
      <c r="BB87" s="12">
        <v>41.036099999999998</v>
      </c>
      <c r="BC87" s="12">
        <v>15.099158355330502</v>
      </c>
      <c r="BD87" s="12">
        <v>489.85910000000001</v>
      </c>
      <c r="BE87" s="12">
        <v>40.638399999999997</v>
      </c>
      <c r="BF87" s="12">
        <v>8.2959365254212898</v>
      </c>
      <c r="BG87" s="12">
        <v>288.91430000000003</v>
      </c>
      <c r="BH87" s="12">
        <v>41.890799999999999</v>
      </c>
      <c r="BI87" s="12">
        <v>14.499386150149022</v>
      </c>
      <c r="BJ87" s="12">
        <v>453.42949999999996</v>
      </c>
      <c r="BK87" s="12">
        <v>40.744799999999998</v>
      </c>
      <c r="BL87" s="12">
        <v>8.9859173256261453</v>
      </c>
      <c r="BM87" s="12">
        <v>236.4992</v>
      </c>
      <c r="BN87" s="12">
        <v>40.322099999999999</v>
      </c>
      <c r="BO87" s="53">
        <v>17.049571415040727</v>
      </c>
      <c r="BP87" s="53">
        <v>23.097899999999999</v>
      </c>
      <c r="BQ87" s="12">
        <v>20.895999999999997</v>
      </c>
      <c r="BR87" s="57">
        <v>20.4923</v>
      </c>
      <c r="BS87" s="57">
        <v>19.505500000000001</v>
      </c>
      <c r="BT87" s="57">
        <v>18.4895</v>
      </c>
      <c r="BU87" s="12">
        <v>15.402900000000001</v>
      </c>
      <c r="BV87" s="57">
        <v>19.5503</v>
      </c>
      <c r="BW87" s="81">
        <v>39.180199999999999</v>
      </c>
      <c r="BX87" s="13">
        <v>25.005600000000001</v>
      </c>
      <c r="BY87" s="109">
        <v>32.861699999999999</v>
      </c>
      <c r="BZ87" s="13">
        <v>38.844200000000001</v>
      </c>
      <c r="CA87" s="13">
        <v>33.301400000000001</v>
      </c>
      <c r="CB87" s="13">
        <v>64.857599999999991</v>
      </c>
      <c r="CC87" s="12">
        <v>47.557400000000001</v>
      </c>
      <c r="CD87" s="12">
        <v>44.124000000000002</v>
      </c>
      <c r="CE87" s="81">
        <v>35.439099999999996</v>
      </c>
      <c r="CF87" s="12">
        <v>45.283799999999999</v>
      </c>
      <c r="CG87" s="12">
        <v>37.864699999999999</v>
      </c>
      <c r="CH87" s="12">
        <v>47.736000000000004</v>
      </c>
      <c r="CI87" s="13">
        <v>41.687799999999996</v>
      </c>
      <c r="CJ87" s="13">
        <f>10.4047+29.9519</f>
        <v>40.3566</v>
      </c>
      <c r="CK87" s="13">
        <v>99.731500000000011</v>
      </c>
      <c r="CL87" s="13">
        <v>99.731700000000004</v>
      </c>
      <c r="CM87" s="13">
        <f>51.5896+0.0001+0.0003+13.8603</f>
        <v>65.450299999999999</v>
      </c>
      <c r="CN87" s="13">
        <f>24.2052+3.5029</f>
        <v>27.708100000000002</v>
      </c>
      <c r="CO87" s="13">
        <f>98.9571+0.0001+0.0003+23.8003</f>
        <v>122.7578</v>
      </c>
      <c r="CP87" s="13">
        <f>86.6527+1.2+1.65+20.5</f>
        <v>110.0027</v>
      </c>
      <c r="CQ87" s="13">
        <f>87.7563+0.0001+1.2008+1.6505+20.0003</f>
        <v>110.60799999999999</v>
      </c>
    </row>
    <row r="88" spans="1:95" ht="15.75" x14ac:dyDescent="0.25">
      <c r="A88" s="11" t="s">
        <v>129</v>
      </c>
      <c r="B88" s="12">
        <v>32.090699999999998</v>
      </c>
      <c r="C88" s="12">
        <v>0.4022</v>
      </c>
      <c r="D88" s="12">
        <v>1.2533226137167466</v>
      </c>
      <c r="E88" s="12">
        <v>29.09</v>
      </c>
      <c r="F88" s="12">
        <v>0.74550000000000005</v>
      </c>
      <c r="G88" s="12">
        <v>2.5627363355104849</v>
      </c>
      <c r="H88" s="12">
        <v>38.424100000000003</v>
      </c>
      <c r="I88" s="12">
        <v>0</v>
      </c>
      <c r="J88" s="12">
        <v>0</v>
      </c>
      <c r="K88" s="12">
        <v>25.274000000000001</v>
      </c>
      <c r="L88" s="12">
        <v>0.59570000000000001</v>
      </c>
      <c r="M88" s="12">
        <v>2.3569676347234312</v>
      </c>
      <c r="N88" s="12">
        <v>107.3759</v>
      </c>
      <c r="O88" s="12">
        <v>14.16</v>
      </c>
      <c r="P88" s="12">
        <v>13.18731670700781</v>
      </c>
      <c r="Q88" s="12">
        <v>74.277900000000002</v>
      </c>
      <c r="R88" s="12">
        <v>9.7887000000000004</v>
      </c>
      <c r="S88" s="12">
        <v>13.178482428824726</v>
      </c>
      <c r="T88" s="12">
        <v>184.27600000000001</v>
      </c>
      <c r="U88" s="12">
        <v>31.642600000000002</v>
      </c>
      <c r="V88" s="12">
        <v>17.171308255008793</v>
      </c>
      <c r="W88" s="12">
        <v>193.14959999999999</v>
      </c>
      <c r="X88" s="12">
        <v>27.577999999999999</v>
      </c>
      <c r="Y88" s="12">
        <v>14.2780518313266</v>
      </c>
      <c r="Z88" s="12">
        <v>158.66900000000001</v>
      </c>
      <c r="AA88" s="12">
        <v>20.993300000000001</v>
      </c>
      <c r="AB88" s="12">
        <v>13.230876856852946</v>
      </c>
      <c r="AC88" s="12">
        <v>152.96719999999999</v>
      </c>
      <c r="AD88" s="12">
        <v>28.7013</v>
      </c>
      <c r="AE88" s="12">
        <v>18.763042011620794</v>
      </c>
      <c r="AF88" s="12">
        <v>264.0874</v>
      </c>
      <c r="AG88" s="12">
        <v>44.911900000000003</v>
      </c>
      <c r="AH88" s="12">
        <v>17.006453166641045</v>
      </c>
      <c r="AI88" s="12">
        <v>241.6191</v>
      </c>
      <c r="AJ88" s="12">
        <v>39.9178</v>
      </c>
      <c r="AK88" s="12">
        <v>16.520962125924648</v>
      </c>
      <c r="AL88" s="12">
        <v>142.2013</v>
      </c>
      <c r="AM88" s="12">
        <v>30.026800000000001</v>
      </c>
      <c r="AN88" s="12">
        <v>21.115700067439608</v>
      </c>
      <c r="AO88" s="12">
        <v>331.01900000000001</v>
      </c>
      <c r="AP88" s="12">
        <v>62.621400000000001</v>
      </c>
      <c r="AQ88" s="12">
        <v>18.91776604968295</v>
      </c>
      <c r="AR88" s="12">
        <v>245.84970000000001</v>
      </c>
      <c r="AS88" s="12">
        <v>50.699000000000005</v>
      </c>
      <c r="AT88" s="12">
        <v>20.621949101422537</v>
      </c>
      <c r="AU88" s="12">
        <v>216.5592</v>
      </c>
      <c r="AV88" s="12">
        <v>45.997899999999994</v>
      </c>
      <c r="AW88" s="12">
        <v>21.240335206262305</v>
      </c>
      <c r="AX88" s="12">
        <v>154.40379999999999</v>
      </c>
      <c r="AY88" s="12">
        <v>30.394100000000002</v>
      </c>
      <c r="AZ88" s="12">
        <v>19.684813456663633</v>
      </c>
      <c r="BA88" s="12">
        <v>216.399</v>
      </c>
      <c r="BB88" s="12">
        <v>40.801300000000005</v>
      </c>
      <c r="BC88" s="12">
        <v>18.854661990120107</v>
      </c>
      <c r="BD88" s="12">
        <v>197.8545</v>
      </c>
      <c r="BE88" s="12">
        <v>37.125100000000003</v>
      </c>
      <c r="BF88" s="12">
        <v>18.763839083771156</v>
      </c>
      <c r="BG88" s="12">
        <v>114.2894</v>
      </c>
      <c r="BH88" s="12">
        <v>34.477800000000002</v>
      </c>
      <c r="BI88" s="12">
        <v>30.167102110956922</v>
      </c>
      <c r="BJ88" s="12">
        <v>193.01949999999999</v>
      </c>
      <c r="BK88" s="12">
        <v>34.477800000000002</v>
      </c>
      <c r="BL88" s="12">
        <v>17.862340333489623</v>
      </c>
      <c r="BM88" s="12">
        <v>173.74270000000001</v>
      </c>
      <c r="BN88" s="12">
        <v>29.2026</v>
      </c>
      <c r="BO88" s="53">
        <v>16.807957974637205</v>
      </c>
      <c r="BP88" s="53">
        <v>22.410399999999999</v>
      </c>
      <c r="BQ88" s="12">
        <v>32.144500000000001</v>
      </c>
      <c r="BR88" s="57">
        <v>29.7973</v>
      </c>
      <c r="BS88" s="57">
        <v>31.345600000000001</v>
      </c>
      <c r="BT88" s="57">
        <v>20.560200000000002</v>
      </c>
      <c r="BU88" s="12">
        <v>19.174200000000003</v>
      </c>
      <c r="BV88" s="57">
        <v>35.940899999999999</v>
      </c>
      <c r="BW88" s="81">
        <v>29.226299999999998</v>
      </c>
      <c r="BX88" s="13">
        <v>21.230699999999999</v>
      </c>
      <c r="BY88" s="109">
        <v>22.758000000000003</v>
      </c>
      <c r="BZ88" s="13">
        <v>32.762999999999998</v>
      </c>
      <c r="CA88" s="13">
        <v>29.733599999999999</v>
      </c>
      <c r="CB88" s="13">
        <v>48.258899999999997</v>
      </c>
      <c r="CC88" s="12">
        <v>54.622599999999998</v>
      </c>
      <c r="CD88" s="12">
        <v>52.613600000000005</v>
      </c>
      <c r="CE88" s="81">
        <v>71.769899999999993</v>
      </c>
      <c r="CF88" s="12">
        <v>70.979299999999995</v>
      </c>
      <c r="CG88" s="12">
        <v>68.472399999999993</v>
      </c>
      <c r="CH88" s="12">
        <v>99.900900000000007</v>
      </c>
      <c r="CI88" s="13">
        <v>141.3775</v>
      </c>
      <c r="CJ88" s="13">
        <f>95.4603+36.1661</f>
        <v>131.62639999999999</v>
      </c>
      <c r="CK88" s="13">
        <v>108.84029999999998</v>
      </c>
      <c r="CL88" s="13">
        <v>108.84029999999998</v>
      </c>
      <c r="CM88" s="13">
        <f>45.3315+51.8105</f>
        <v>97.141999999999996</v>
      </c>
      <c r="CN88" s="13">
        <f>43.6816+11.2136</f>
        <v>54.895200000000003</v>
      </c>
      <c r="CO88" s="13">
        <f>58.9147+7.4924</f>
        <v>66.4071</v>
      </c>
      <c r="CP88" s="13">
        <f>58.9146+7.8918</f>
        <v>66.806399999999996</v>
      </c>
      <c r="CQ88" s="13">
        <f>55.4986+21.0506</f>
        <v>76.549199999999999</v>
      </c>
    </row>
    <row r="89" spans="1:95" ht="15.75" x14ac:dyDescent="0.25">
      <c r="A89" s="19" t="s">
        <v>130</v>
      </c>
      <c r="B89" s="20">
        <v>62.798299999999998</v>
      </c>
      <c r="C89" s="20">
        <v>0.40229999999999999</v>
      </c>
      <c r="D89" s="20">
        <v>0.64062243723158108</v>
      </c>
      <c r="E89" s="20">
        <v>61.7166</v>
      </c>
      <c r="F89" s="20">
        <v>0.74550000000000005</v>
      </c>
      <c r="G89" s="20">
        <v>1.2079408133306113</v>
      </c>
      <c r="H89" s="20">
        <v>113.19199999999999</v>
      </c>
      <c r="I89" s="20">
        <v>0</v>
      </c>
      <c r="J89" s="20">
        <v>0</v>
      </c>
      <c r="K89" s="20">
        <v>104.6451</v>
      </c>
      <c r="L89" s="20">
        <v>0.59570000000000001</v>
      </c>
      <c r="M89" s="20">
        <v>0.56925742342450814</v>
      </c>
      <c r="N89" s="20">
        <v>147.61099999999999</v>
      </c>
      <c r="O89" s="20">
        <v>19.933599999999998</v>
      </c>
      <c r="P89" s="20">
        <v>13.504142645195818</v>
      </c>
      <c r="Q89" s="20">
        <v>135.84610000000001</v>
      </c>
      <c r="R89" s="20">
        <v>12.583500000000001</v>
      </c>
      <c r="S89" s="20">
        <v>9.2630557667831468</v>
      </c>
      <c r="T89" s="20">
        <v>419.86149999999998</v>
      </c>
      <c r="U89" s="20">
        <v>52.8217</v>
      </c>
      <c r="V89" s="20">
        <v>12.58074388816312</v>
      </c>
      <c r="W89" s="20">
        <v>337.44760000000002</v>
      </c>
      <c r="X89" s="20">
        <v>40.664900000000003</v>
      </c>
      <c r="Y89" s="20">
        <v>12.050730246710897</v>
      </c>
      <c r="Z89" s="20">
        <v>243.5222</v>
      </c>
      <c r="AA89" s="20">
        <v>25.6433</v>
      </c>
      <c r="AB89" s="20">
        <v>10.53016932337175</v>
      </c>
      <c r="AC89" s="20">
        <v>496.90230000000003</v>
      </c>
      <c r="AD89" s="20">
        <v>63.891300000000001</v>
      </c>
      <c r="AE89" s="20">
        <v>12.857919957303476</v>
      </c>
      <c r="AF89" s="20">
        <v>503.1739</v>
      </c>
      <c r="AG89" s="20">
        <v>79.947100000000006</v>
      </c>
      <c r="AH89" s="20">
        <v>15.888562582439194</v>
      </c>
      <c r="AI89" s="20">
        <v>418.69560000000001</v>
      </c>
      <c r="AJ89" s="20">
        <v>65.717799999999997</v>
      </c>
      <c r="AK89" s="20">
        <v>15.695842038941892</v>
      </c>
      <c r="AL89" s="20">
        <v>457.20909999999998</v>
      </c>
      <c r="AM89" s="20">
        <v>70.029200000000003</v>
      </c>
      <c r="AN89" s="20">
        <v>15.316668019074861</v>
      </c>
      <c r="AO89" s="20">
        <v>652.84</v>
      </c>
      <c r="AP89" s="20">
        <v>102.6238</v>
      </c>
      <c r="AQ89" s="20">
        <v>15.719594387598798</v>
      </c>
      <c r="AR89" s="20">
        <v>504.45820000000003</v>
      </c>
      <c r="AS89" s="20">
        <v>91.849700000000013</v>
      </c>
      <c r="AT89" s="20">
        <v>18.207593810547635</v>
      </c>
      <c r="AU89" s="20">
        <v>426.78309999999999</v>
      </c>
      <c r="AV89" s="20">
        <v>86.49799999999999</v>
      </c>
      <c r="AW89" s="20">
        <v>20.267437956188985</v>
      </c>
      <c r="AX89" s="20">
        <v>424.94479999999999</v>
      </c>
      <c r="AY89" s="20">
        <v>72.76570000000001</v>
      </c>
      <c r="AZ89" s="20">
        <v>17.123565225412811</v>
      </c>
      <c r="BA89" s="20">
        <v>488.1764</v>
      </c>
      <c r="BB89" s="20">
        <v>81.837400000000002</v>
      </c>
      <c r="BC89" s="20">
        <v>16.763899279031104</v>
      </c>
      <c r="BD89" s="20">
        <v>687.71360000000004</v>
      </c>
      <c r="BE89" s="20">
        <v>77.763499999999993</v>
      </c>
      <c r="BF89" s="20">
        <v>11.307541395138905</v>
      </c>
      <c r="BG89" s="20">
        <v>403.20370000000003</v>
      </c>
      <c r="BH89" s="20">
        <v>76.368600000000001</v>
      </c>
      <c r="BI89" s="20">
        <v>18.940451191296109</v>
      </c>
      <c r="BJ89" s="20">
        <v>646.44899999999996</v>
      </c>
      <c r="BK89" s="20">
        <v>75.2226</v>
      </c>
      <c r="BL89" s="20">
        <v>11.636277571780605</v>
      </c>
      <c r="BM89" s="20">
        <v>410.24189999999999</v>
      </c>
      <c r="BN89" s="20">
        <v>69.524699999999996</v>
      </c>
      <c r="BO89" s="20">
        <v>16.947245027872579</v>
      </c>
      <c r="BP89" s="20">
        <v>45.508299999999998</v>
      </c>
      <c r="BQ89" s="20">
        <v>53.040499999999994</v>
      </c>
      <c r="BR89" s="59">
        <v>50.2896</v>
      </c>
      <c r="BS89" s="59">
        <v>50.851100000000002</v>
      </c>
      <c r="BT89" s="59">
        <v>39.049700000000001</v>
      </c>
      <c r="BU89" s="20">
        <v>34.577100000000002</v>
      </c>
      <c r="BV89" s="59">
        <v>55.491199999999999</v>
      </c>
      <c r="BW89" s="89">
        <v>68.406499999999994</v>
      </c>
      <c r="BX89" s="89">
        <v>46.2363</v>
      </c>
      <c r="BY89" s="89">
        <v>55.619700000000002</v>
      </c>
      <c r="BZ89" s="89">
        <v>71.607200000000006</v>
      </c>
      <c r="CA89" s="89">
        <v>63.034999999999997</v>
      </c>
      <c r="CB89" s="89">
        <v>113.11649999999999</v>
      </c>
      <c r="CC89" s="89">
        <v>102.18</v>
      </c>
      <c r="CD89" s="89">
        <v>96.737600000000015</v>
      </c>
      <c r="CE89" s="89">
        <v>107.20899999999999</v>
      </c>
      <c r="CF89" s="20">
        <v>116.26309999999999</v>
      </c>
      <c r="CG89" s="20">
        <v>106.33709999999999</v>
      </c>
      <c r="CH89" s="20">
        <v>147.63690000000003</v>
      </c>
      <c r="CI89" s="20">
        <v>183.06529999999998</v>
      </c>
      <c r="CJ89" s="20">
        <f>SUM(CJ87:CJ88)</f>
        <v>171.983</v>
      </c>
      <c r="CK89" s="20">
        <v>208.5718</v>
      </c>
      <c r="CL89" s="20">
        <v>208.572</v>
      </c>
      <c r="CM89" s="21">
        <f>SUM(CM87:CM88)</f>
        <v>162.59229999999999</v>
      </c>
      <c r="CN89" s="21">
        <f>SUM(CN87:CN88)</f>
        <v>82.603300000000004</v>
      </c>
      <c r="CO89" s="21">
        <f>SUM(CO87:CO88)</f>
        <v>189.16489999999999</v>
      </c>
      <c r="CP89" s="21">
        <f>SUM(CP87:CP88)</f>
        <v>176.8091</v>
      </c>
      <c r="CQ89" s="21">
        <f>SUM(CQ87:CQ88)</f>
        <v>187.15719999999999</v>
      </c>
    </row>
    <row r="90" spans="1:95" ht="15.75" x14ac:dyDescent="0.25">
      <c r="A90" s="62" t="s">
        <v>131</v>
      </c>
      <c r="B90" s="52">
        <v>0</v>
      </c>
      <c r="C90" s="52">
        <v>0</v>
      </c>
      <c r="D90" s="52">
        <v>0</v>
      </c>
      <c r="E90" s="52">
        <v>14.3223</v>
      </c>
      <c r="F90" s="52">
        <v>0</v>
      </c>
      <c r="G90" s="52">
        <v>0</v>
      </c>
      <c r="H90" s="52">
        <v>33.4255</v>
      </c>
      <c r="I90" s="52">
        <v>0</v>
      </c>
      <c r="J90" s="52">
        <v>0</v>
      </c>
      <c r="K90" s="52">
        <v>53.468400000000003</v>
      </c>
      <c r="L90" s="52">
        <v>0</v>
      </c>
      <c r="M90" s="52">
        <v>0</v>
      </c>
      <c r="N90" s="52">
        <v>89.487099999999998</v>
      </c>
      <c r="O90" s="52">
        <v>13.039</v>
      </c>
      <c r="P90" s="52">
        <v>14.570815234821556</v>
      </c>
      <c r="Q90" s="52">
        <v>89.3018</v>
      </c>
      <c r="R90" s="52">
        <v>13.0373</v>
      </c>
      <c r="S90" s="52">
        <v>14.59914581788945</v>
      </c>
      <c r="T90" s="52">
        <v>145.21870000000001</v>
      </c>
      <c r="U90" s="52">
        <v>18.3324</v>
      </c>
      <c r="V90" s="52">
        <v>12.623994017299422</v>
      </c>
      <c r="W90" s="52">
        <v>351.0718</v>
      </c>
      <c r="X90" s="52">
        <v>46.9041</v>
      </c>
      <c r="Y90" s="52">
        <v>13.360258499828239</v>
      </c>
      <c r="Z90" s="52">
        <v>339.07740000000001</v>
      </c>
      <c r="AA90" s="52">
        <v>45.977499999999999</v>
      </c>
      <c r="AB90" s="52">
        <v>13.559588459743999</v>
      </c>
      <c r="AC90" s="52">
        <v>289.39699999999999</v>
      </c>
      <c r="AD90" s="52">
        <v>46.825899999999997</v>
      </c>
      <c r="AE90" s="52">
        <v>16.180506363231132</v>
      </c>
      <c r="AF90" s="52">
        <v>471.11020000000002</v>
      </c>
      <c r="AG90" s="52">
        <v>74.260900000000007</v>
      </c>
      <c r="AH90" s="52">
        <v>15.762957371757183</v>
      </c>
      <c r="AI90" s="52">
        <v>389.8879</v>
      </c>
      <c r="AJ90" s="52">
        <v>52.094799999999999</v>
      </c>
      <c r="AK90" s="52">
        <v>13.361481595094386</v>
      </c>
      <c r="AL90" s="52">
        <v>421.2244</v>
      </c>
      <c r="AM90" s="52">
        <v>69.274799999999999</v>
      </c>
      <c r="AN90" s="52">
        <v>16.44605583152353</v>
      </c>
      <c r="AO90" s="52">
        <v>351.2244</v>
      </c>
      <c r="AP90" s="52">
        <v>57.262900000000002</v>
      </c>
      <c r="AQ90" s="52">
        <v>16.303793244432903</v>
      </c>
      <c r="AR90" s="52">
        <v>555.82650000000001</v>
      </c>
      <c r="AS90" s="52">
        <v>92.133799999999994</v>
      </c>
      <c r="AT90" s="52">
        <v>16.575999884856156</v>
      </c>
      <c r="AU90" s="52">
        <v>545.35860000000002</v>
      </c>
      <c r="AV90" s="52">
        <v>90.388800000000003</v>
      </c>
      <c r="AW90" s="52">
        <v>16.574195400971032</v>
      </c>
      <c r="AX90" s="52">
        <v>570.6463</v>
      </c>
      <c r="AY90" s="52">
        <v>95.045000000000002</v>
      </c>
      <c r="AZ90" s="52">
        <v>16.655676204331826</v>
      </c>
      <c r="BA90" s="52">
        <v>559.52099999999996</v>
      </c>
      <c r="BB90" s="52">
        <v>91.163799999999995</v>
      </c>
      <c r="BC90" s="52">
        <v>16.293186493447074</v>
      </c>
      <c r="BD90" s="52">
        <v>539.04470000000003</v>
      </c>
      <c r="BE90" s="52">
        <v>76.878799999999998</v>
      </c>
      <c r="BF90" s="52">
        <v>14.262045429627634</v>
      </c>
      <c r="BG90" s="52">
        <v>554.85479999999995</v>
      </c>
      <c r="BH90" s="52">
        <v>86.594499999999996</v>
      </c>
      <c r="BI90" s="52">
        <v>15.606695661639765</v>
      </c>
      <c r="BJ90" s="52">
        <v>578.63199999999995</v>
      </c>
      <c r="BK90" s="52">
        <v>90.607799999999997</v>
      </c>
      <c r="BL90" s="52">
        <v>15.658968048777117</v>
      </c>
      <c r="BM90" s="52">
        <v>88.4833</v>
      </c>
      <c r="BN90" s="52">
        <v>67.861000000000004</v>
      </c>
      <c r="BO90" s="66">
        <v>76.693568164840158</v>
      </c>
      <c r="BP90" s="52">
        <v>94.942499999999995</v>
      </c>
      <c r="BQ90" s="52">
        <v>92.777799999999999</v>
      </c>
      <c r="BR90" s="52">
        <v>47.2378</v>
      </c>
      <c r="BS90" s="52">
        <v>898.0684</v>
      </c>
      <c r="BT90" s="52">
        <v>1004.2078</v>
      </c>
      <c r="BU90" s="52">
        <v>1003.0578</v>
      </c>
      <c r="BV90" s="52">
        <v>565.76869999999997</v>
      </c>
      <c r="BW90" s="95">
        <v>840.29780000000005</v>
      </c>
      <c r="BX90" s="32">
        <v>830.10680000000002</v>
      </c>
      <c r="BY90" s="116">
        <v>801.02859999999998</v>
      </c>
      <c r="BZ90" s="32">
        <v>931.98779999999999</v>
      </c>
      <c r="CA90" s="32">
        <v>863.26779999999997</v>
      </c>
      <c r="CB90" s="32">
        <v>608.85839999999996</v>
      </c>
      <c r="CC90" s="52">
        <v>747.01779999999997</v>
      </c>
      <c r="CD90" s="52">
        <v>674.7971</v>
      </c>
      <c r="CE90" s="95">
        <v>369.22829999999999</v>
      </c>
      <c r="CF90" s="52">
        <v>273.4778</v>
      </c>
      <c r="CG90" s="52">
        <v>237.22989999999999</v>
      </c>
      <c r="CH90" s="52">
        <v>233.5583</v>
      </c>
      <c r="CI90" s="32">
        <v>380.41030000000001</v>
      </c>
      <c r="CJ90" s="32">
        <v>255.55600000000001</v>
      </c>
      <c r="CK90" s="32">
        <v>356.46859999999998</v>
      </c>
      <c r="CL90" s="32">
        <v>435.36860000000001</v>
      </c>
      <c r="CM90" s="32">
        <v>448.08190000000002</v>
      </c>
      <c r="CN90" s="32">
        <v>383.46080000000001</v>
      </c>
      <c r="CO90" s="32">
        <v>406.21850000000001</v>
      </c>
      <c r="CP90" s="32">
        <v>605.80780000000004</v>
      </c>
      <c r="CQ90" s="32">
        <v>565.15009999999995</v>
      </c>
    </row>
    <row r="91" spans="1:95" ht="15.75" x14ac:dyDescent="0.25">
      <c r="A91" s="62" t="s">
        <v>132</v>
      </c>
      <c r="B91" s="52">
        <v>0</v>
      </c>
      <c r="C91" s="52">
        <v>0</v>
      </c>
      <c r="D91" s="52">
        <v>0</v>
      </c>
      <c r="E91" s="52">
        <v>13.1387</v>
      </c>
      <c r="F91" s="52">
        <v>0</v>
      </c>
      <c r="G91" s="52">
        <v>0</v>
      </c>
      <c r="H91" s="52">
        <v>28.641500000000001</v>
      </c>
      <c r="I91" s="52">
        <v>0</v>
      </c>
      <c r="J91" s="52">
        <v>0</v>
      </c>
      <c r="K91" s="52">
        <v>35.457999999999998</v>
      </c>
      <c r="L91" s="52">
        <v>0</v>
      </c>
      <c r="M91" s="52">
        <v>0</v>
      </c>
      <c r="N91" s="52">
        <v>24.7637</v>
      </c>
      <c r="O91" s="52">
        <v>0</v>
      </c>
      <c r="P91" s="52">
        <v>0</v>
      </c>
      <c r="Q91" s="52">
        <v>24.709199999999999</v>
      </c>
      <c r="R91" s="52">
        <v>0</v>
      </c>
      <c r="S91" s="52">
        <v>0</v>
      </c>
      <c r="T91" s="52">
        <v>48.900199999999998</v>
      </c>
      <c r="U91" s="52">
        <v>0</v>
      </c>
      <c r="V91" s="52">
        <v>0</v>
      </c>
      <c r="W91" s="52">
        <v>45.0154</v>
      </c>
      <c r="X91" s="52">
        <v>0</v>
      </c>
      <c r="Y91" s="52">
        <v>0</v>
      </c>
      <c r="Z91" s="52">
        <v>45.011099999999999</v>
      </c>
      <c r="AA91" s="52">
        <v>0</v>
      </c>
      <c r="AB91" s="52">
        <v>0</v>
      </c>
      <c r="AC91" s="52">
        <v>30.2059</v>
      </c>
      <c r="AD91" s="52">
        <v>0</v>
      </c>
      <c r="AE91" s="52">
        <v>0</v>
      </c>
      <c r="AF91" s="52">
        <v>40.205599999999997</v>
      </c>
      <c r="AG91" s="52">
        <v>0</v>
      </c>
      <c r="AH91" s="52">
        <v>0</v>
      </c>
      <c r="AI91" s="52">
        <v>36.0959</v>
      </c>
      <c r="AJ91" s="52">
        <v>0</v>
      </c>
      <c r="AK91" s="52">
        <v>0</v>
      </c>
      <c r="AL91" s="52">
        <v>24.3764</v>
      </c>
      <c r="AM91" s="52">
        <v>0</v>
      </c>
      <c r="AN91" s="52">
        <v>0</v>
      </c>
      <c r="AO91" s="52">
        <v>14.3765</v>
      </c>
      <c r="AP91" s="52">
        <v>0</v>
      </c>
      <c r="AQ91" s="52">
        <v>0</v>
      </c>
      <c r="AR91" s="52">
        <v>14.3757</v>
      </c>
      <c r="AS91" s="52">
        <v>0</v>
      </c>
      <c r="AT91" s="52">
        <v>0</v>
      </c>
      <c r="AU91" s="52">
        <v>14.3757</v>
      </c>
      <c r="AV91" s="52">
        <v>0</v>
      </c>
      <c r="AW91" s="52">
        <v>0</v>
      </c>
      <c r="AX91" s="52">
        <v>11.052899999999999</v>
      </c>
      <c r="AY91" s="52">
        <v>0</v>
      </c>
      <c r="AZ91" s="52">
        <v>0</v>
      </c>
      <c r="BA91" s="52">
        <v>25.393599999999999</v>
      </c>
      <c r="BB91" s="52">
        <v>0</v>
      </c>
      <c r="BC91" s="52">
        <v>0</v>
      </c>
      <c r="BD91" s="52">
        <v>25.393599999999999</v>
      </c>
      <c r="BE91" s="52">
        <v>0</v>
      </c>
      <c r="BF91" s="52">
        <v>0</v>
      </c>
      <c r="BG91" s="52">
        <v>28.512699999999999</v>
      </c>
      <c r="BH91" s="52">
        <v>0</v>
      </c>
      <c r="BI91" s="52">
        <v>0</v>
      </c>
      <c r="BJ91" s="52">
        <v>28.452200000000001</v>
      </c>
      <c r="BK91" s="52">
        <v>0</v>
      </c>
      <c r="BL91" s="52">
        <v>0</v>
      </c>
      <c r="BM91" s="52">
        <v>28.449200000000001</v>
      </c>
      <c r="BN91" s="52">
        <v>0</v>
      </c>
      <c r="BO91" s="66">
        <v>0</v>
      </c>
      <c r="BP91" s="52">
        <v>0</v>
      </c>
      <c r="BQ91" s="52">
        <v>0</v>
      </c>
      <c r="BR91" s="52">
        <v>0</v>
      </c>
      <c r="BS91" s="52">
        <v>0</v>
      </c>
      <c r="BT91" s="52">
        <v>0</v>
      </c>
      <c r="BU91" s="52">
        <v>3.0999999999999999E-3</v>
      </c>
      <c r="BV91" s="52">
        <v>3.0999999999999999E-3</v>
      </c>
      <c r="BW91" s="95">
        <v>3.0999999999999999E-3</v>
      </c>
      <c r="BX91" s="116">
        <v>3.0999999999999999E-3</v>
      </c>
      <c r="BY91" s="116">
        <v>3.0999999999999999E-3</v>
      </c>
      <c r="BZ91" s="116">
        <v>3.0999999999999999E-3</v>
      </c>
      <c r="CA91" s="32">
        <v>0</v>
      </c>
      <c r="CB91" s="32">
        <v>0</v>
      </c>
      <c r="CC91" s="52">
        <v>0</v>
      </c>
      <c r="CD91" s="52">
        <v>0</v>
      </c>
      <c r="CE91" s="95">
        <v>2.1600999999999999</v>
      </c>
      <c r="CF91" s="52">
        <v>2.16</v>
      </c>
      <c r="CG91" s="52">
        <v>2.16</v>
      </c>
      <c r="CH91" s="52">
        <v>2.1600999999999999</v>
      </c>
      <c r="CI91" s="32">
        <v>2.16</v>
      </c>
      <c r="CJ91" s="32">
        <v>0.39600000000000002</v>
      </c>
      <c r="CK91" s="32">
        <v>2.0000000000000001E-4</v>
      </c>
      <c r="CL91" s="32">
        <v>2.0000000000000001E-4</v>
      </c>
      <c r="CM91" s="32">
        <v>0</v>
      </c>
      <c r="CN91" s="32">
        <v>0</v>
      </c>
      <c r="CO91" s="32">
        <v>2.0000000000000001E-4</v>
      </c>
      <c r="CP91" s="32">
        <v>0</v>
      </c>
      <c r="CQ91" s="32">
        <v>2.0000000000000001E-4</v>
      </c>
    </row>
    <row r="92" spans="1:95" ht="15.75" x14ac:dyDescent="0.25">
      <c r="A92" s="67" t="s">
        <v>133</v>
      </c>
      <c r="B92" s="64">
        <v>0</v>
      </c>
      <c r="C92" s="64">
        <v>0</v>
      </c>
      <c r="D92" s="64">
        <v>0</v>
      </c>
      <c r="E92" s="64">
        <v>27.460999999999999</v>
      </c>
      <c r="F92" s="64">
        <v>0</v>
      </c>
      <c r="G92" s="64">
        <v>0</v>
      </c>
      <c r="H92" s="64">
        <v>62.067</v>
      </c>
      <c r="I92" s="64">
        <v>0</v>
      </c>
      <c r="J92" s="64">
        <v>0</v>
      </c>
      <c r="K92" s="64">
        <v>88.926400000000001</v>
      </c>
      <c r="L92" s="64">
        <v>0</v>
      </c>
      <c r="M92" s="64">
        <v>0</v>
      </c>
      <c r="N92" s="64">
        <v>114.2508</v>
      </c>
      <c r="O92" s="64">
        <v>13.039</v>
      </c>
      <c r="P92" s="64">
        <v>11.412611552829389</v>
      </c>
      <c r="Q92" s="64">
        <v>114.011</v>
      </c>
      <c r="R92" s="64">
        <v>13.0373</v>
      </c>
      <c r="S92" s="64">
        <v>11.435124680951839</v>
      </c>
      <c r="T92" s="64">
        <v>194.1189</v>
      </c>
      <c r="U92" s="64">
        <v>18.3324</v>
      </c>
      <c r="V92" s="64">
        <v>9.4439026802645181</v>
      </c>
      <c r="W92" s="64">
        <v>396.0872</v>
      </c>
      <c r="X92" s="64">
        <v>46.9041</v>
      </c>
      <c r="Y92" s="64">
        <v>11.84186209501342</v>
      </c>
      <c r="Z92" s="64">
        <v>384.08850000000001</v>
      </c>
      <c r="AA92" s="64">
        <v>45.977499999999999</v>
      </c>
      <c r="AB92" s="64">
        <v>11.970548454327583</v>
      </c>
      <c r="AC92" s="64">
        <v>319.60289999999998</v>
      </c>
      <c r="AD92" s="64">
        <v>46.825899999999997</v>
      </c>
      <c r="AE92" s="64">
        <v>14.651275066653024</v>
      </c>
      <c r="AF92" s="64">
        <v>511.31580000000002</v>
      </c>
      <c r="AG92" s="64">
        <v>74.260900000000007</v>
      </c>
      <c r="AH92" s="64">
        <v>14.523490179650228</v>
      </c>
      <c r="AI92" s="64">
        <v>425.98379999999997</v>
      </c>
      <c r="AJ92" s="64">
        <v>52.094799999999999</v>
      </c>
      <c r="AK92" s="64">
        <v>12.22929134863814</v>
      </c>
      <c r="AL92" s="64">
        <v>445.60079999999999</v>
      </c>
      <c r="AM92" s="64">
        <v>69.274799999999999</v>
      </c>
      <c r="AN92" s="64">
        <v>15.546381424808933</v>
      </c>
      <c r="AO92" s="64">
        <v>365.60090000000002</v>
      </c>
      <c r="AP92" s="64">
        <v>57.262900000000002</v>
      </c>
      <c r="AQ92" s="64">
        <v>15.662680261454497</v>
      </c>
      <c r="AR92" s="64">
        <v>570.20220000000006</v>
      </c>
      <c r="AS92" s="64">
        <v>92.133799999999994</v>
      </c>
      <c r="AT92" s="64">
        <v>16.158092690627988</v>
      </c>
      <c r="AU92" s="64">
        <v>559.73430000000008</v>
      </c>
      <c r="AV92" s="64">
        <v>90.388800000000003</v>
      </c>
      <c r="AW92" s="64">
        <v>16.148519038408043</v>
      </c>
      <c r="AX92" s="64">
        <v>581.69920000000002</v>
      </c>
      <c r="AY92" s="64">
        <v>95.045000000000002</v>
      </c>
      <c r="AZ92" s="64">
        <v>16.339200741551647</v>
      </c>
      <c r="BA92" s="64">
        <v>584.91459999999995</v>
      </c>
      <c r="BB92" s="64">
        <v>91.163799999999995</v>
      </c>
      <c r="BC92" s="64">
        <v>15.585830820430878</v>
      </c>
      <c r="BD92" s="64">
        <v>564.43830000000003</v>
      </c>
      <c r="BE92" s="64">
        <v>76.878799999999998</v>
      </c>
      <c r="BF92" s="64">
        <v>13.620408111922949</v>
      </c>
      <c r="BG92" s="64">
        <v>583.36749999999995</v>
      </c>
      <c r="BH92" s="64">
        <v>86.594499999999996</v>
      </c>
      <c r="BI92" s="64">
        <v>14.843902000025713</v>
      </c>
      <c r="BJ92" s="64">
        <v>607.0841999999999</v>
      </c>
      <c r="BK92" s="64">
        <v>90.607799999999997</v>
      </c>
      <c r="BL92" s="64">
        <v>14.92507958533594</v>
      </c>
      <c r="BM92" s="64">
        <v>116.9325</v>
      </c>
      <c r="BN92" s="64">
        <v>67.861000000000004</v>
      </c>
      <c r="BO92" s="64">
        <v>58.034336048575028</v>
      </c>
      <c r="BP92" s="64">
        <v>94.942499999999995</v>
      </c>
      <c r="BQ92" s="64">
        <v>92.777799999999999</v>
      </c>
      <c r="BR92" s="64">
        <v>47.2378</v>
      </c>
      <c r="BS92" s="64">
        <v>898.0684</v>
      </c>
      <c r="BT92" s="64">
        <v>1004.2078</v>
      </c>
      <c r="BU92" s="64">
        <v>1003.0609000000001</v>
      </c>
      <c r="BV92" s="64">
        <v>565.77179999999998</v>
      </c>
      <c r="BW92" s="96">
        <v>840.30090000000007</v>
      </c>
      <c r="BX92" s="96">
        <v>830.10990000000004</v>
      </c>
      <c r="BY92" s="96">
        <v>801.0317</v>
      </c>
      <c r="BZ92" s="96">
        <v>931.99090000000001</v>
      </c>
      <c r="CA92" s="96">
        <v>863.26779999999997</v>
      </c>
      <c r="CB92" s="96">
        <v>608.85839999999996</v>
      </c>
      <c r="CC92" s="96">
        <v>747.01779999999997</v>
      </c>
      <c r="CD92" s="89">
        <v>674.7971</v>
      </c>
      <c r="CE92" s="96">
        <v>371.38839999999999</v>
      </c>
      <c r="CF92" s="20">
        <v>275.63780000000003</v>
      </c>
      <c r="CG92" s="20">
        <v>239.38989999999998</v>
      </c>
      <c r="CH92" s="20">
        <v>235.7184</v>
      </c>
      <c r="CI92" s="20">
        <v>382.57030000000003</v>
      </c>
      <c r="CJ92" s="20">
        <f>SUM(CJ90:CJ91)</f>
        <v>255.952</v>
      </c>
      <c r="CK92" s="20">
        <v>356.46879999999999</v>
      </c>
      <c r="CL92" s="20">
        <v>435.36880000000002</v>
      </c>
      <c r="CM92" s="33">
        <f>SUM(CM90:CM91)</f>
        <v>448.08190000000002</v>
      </c>
      <c r="CN92" s="33">
        <f>SUM(CN90:CN91)</f>
        <v>383.46080000000001</v>
      </c>
      <c r="CO92" s="33">
        <f>SUM(CO90:CO91)</f>
        <v>406.21870000000001</v>
      </c>
      <c r="CP92" s="33">
        <f>SUM(CP90:CP91)</f>
        <v>605.80780000000004</v>
      </c>
      <c r="CQ92" s="33">
        <f>SUM(CQ90:CQ91)</f>
        <v>565.1502999999999</v>
      </c>
    </row>
    <row r="93" spans="1:95" ht="15.75" x14ac:dyDescent="0.25">
      <c r="A93" s="62" t="s">
        <v>134</v>
      </c>
      <c r="B93" s="52">
        <v>815.91759999999999</v>
      </c>
      <c r="C93" s="52">
        <v>0</v>
      </c>
      <c r="D93" s="52">
        <v>0</v>
      </c>
      <c r="E93" s="52">
        <v>838.8578</v>
      </c>
      <c r="F93" s="52">
        <v>0</v>
      </c>
      <c r="G93" s="52">
        <v>0</v>
      </c>
      <c r="H93" s="52">
        <v>1167.9138</v>
      </c>
      <c r="I93" s="52">
        <v>0</v>
      </c>
      <c r="J93" s="52">
        <v>0</v>
      </c>
      <c r="K93" s="52">
        <v>1423.18</v>
      </c>
      <c r="L93" s="52">
        <v>0</v>
      </c>
      <c r="M93" s="52">
        <v>0</v>
      </c>
      <c r="N93" s="52">
        <v>2295.7251000000001</v>
      </c>
      <c r="O93" s="52">
        <v>0</v>
      </c>
      <c r="P93" s="52">
        <v>0</v>
      </c>
      <c r="Q93" s="52">
        <v>2224.9488000000001</v>
      </c>
      <c r="R93" s="52">
        <v>0</v>
      </c>
      <c r="S93" s="52">
        <v>0</v>
      </c>
      <c r="T93" s="52">
        <v>2564.9603999999999</v>
      </c>
      <c r="U93" s="52">
        <v>0</v>
      </c>
      <c r="V93" s="52">
        <v>0</v>
      </c>
      <c r="W93" s="52">
        <v>3185.8488000000002</v>
      </c>
      <c r="X93" s="52">
        <v>0</v>
      </c>
      <c r="Y93" s="52">
        <v>0</v>
      </c>
      <c r="Z93" s="52">
        <v>2935.5738999999999</v>
      </c>
      <c r="AA93" s="52">
        <v>0</v>
      </c>
      <c r="AB93" s="52">
        <v>0</v>
      </c>
      <c r="AC93" s="52">
        <v>2752.5931</v>
      </c>
      <c r="AD93" s="52">
        <v>0</v>
      </c>
      <c r="AE93" s="52">
        <v>0</v>
      </c>
      <c r="AF93" s="52">
        <v>3035.5679</v>
      </c>
      <c r="AG93" s="52">
        <v>0</v>
      </c>
      <c r="AH93" s="52">
        <v>0</v>
      </c>
      <c r="AI93" s="52">
        <v>2790.9034999999999</v>
      </c>
      <c r="AJ93" s="52">
        <v>0</v>
      </c>
      <c r="AK93" s="52">
        <v>0</v>
      </c>
      <c r="AL93" s="52">
        <v>3344.8802000000001</v>
      </c>
      <c r="AM93" s="52">
        <v>0.17799999999999999</v>
      </c>
      <c r="AN93" s="52">
        <v>5.3215657768550268E-3</v>
      </c>
      <c r="AO93" s="52">
        <v>4968.7659000000003</v>
      </c>
      <c r="AP93" s="52">
        <v>0.17799999999999999</v>
      </c>
      <c r="AQ93" s="52">
        <v>3.5823784734958022E-3</v>
      </c>
      <c r="AR93" s="52">
        <v>4781.0897999999997</v>
      </c>
      <c r="AS93" s="52">
        <v>0</v>
      </c>
      <c r="AT93" s="52">
        <v>0</v>
      </c>
      <c r="AU93" s="52">
        <v>4353.3594999999996</v>
      </c>
      <c r="AV93" s="52">
        <v>0</v>
      </c>
      <c r="AW93" s="52">
        <v>0</v>
      </c>
      <c r="AX93" s="52">
        <v>2.9999999999999997E-4</v>
      </c>
      <c r="AY93" s="52">
        <v>0</v>
      </c>
      <c r="AZ93" s="52">
        <v>0</v>
      </c>
      <c r="BA93" s="52">
        <v>6015.8967000000002</v>
      </c>
      <c r="BB93" s="52">
        <v>8.0999999999999996E-3</v>
      </c>
      <c r="BC93" s="52">
        <v>1.3464326938991488E-4</v>
      </c>
      <c r="BD93" s="52">
        <v>5629.8328000000001</v>
      </c>
      <c r="BE93" s="52">
        <v>7.1999999999999998E-3</v>
      </c>
      <c r="BF93" s="52">
        <v>1.2789012135493613E-4</v>
      </c>
      <c r="BG93" s="52">
        <v>5150.3297000000002</v>
      </c>
      <c r="BH93" s="52">
        <v>0</v>
      </c>
      <c r="BI93" s="52">
        <v>0</v>
      </c>
      <c r="BJ93" s="52">
        <v>5337.6382999999996</v>
      </c>
      <c r="BK93" s="52">
        <v>0</v>
      </c>
      <c r="BL93" s="52">
        <v>0</v>
      </c>
      <c r="BM93" s="52">
        <v>4386.0835999999999</v>
      </c>
      <c r="BN93" s="66">
        <v>0</v>
      </c>
      <c r="BO93" s="66">
        <v>0</v>
      </c>
      <c r="BP93" s="52">
        <v>0</v>
      </c>
      <c r="BQ93" s="52">
        <v>0</v>
      </c>
      <c r="BR93" s="52">
        <v>0</v>
      </c>
      <c r="BS93" s="52">
        <v>0</v>
      </c>
      <c r="BT93" s="52">
        <v>0</v>
      </c>
      <c r="BU93" s="32">
        <v>0</v>
      </c>
      <c r="BV93" s="52">
        <v>0</v>
      </c>
      <c r="BW93" s="101">
        <v>0</v>
      </c>
      <c r="BX93" s="32">
        <v>0</v>
      </c>
      <c r="BY93" s="122">
        <v>0</v>
      </c>
      <c r="BZ93" s="32">
        <v>0</v>
      </c>
      <c r="CA93" s="52">
        <v>0</v>
      </c>
      <c r="CB93" s="32">
        <v>4.5</v>
      </c>
      <c r="CC93" s="52">
        <v>11.7</v>
      </c>
      <c r="CD93" s="52">
        <v>11.674099999999999</v>
      </c>
      <c r="CE93" s="95">
        <v>94.5</v>
      </c>
      <c r="CF93" s="52">
        <v>166.68</v>
      </c>
      <c r="CG93" s="52">
        <v>5.9459</v>
      </c>
      <c r="CH93" s="52">
        <v>224.94</v>
      </c>
      <c r="CI93" s="32">
        <v>49.225000000000001</v>
      </c>
      <c r="CJ93" s="32">
        <v>10.4651</v>
      </c>
      <c r="CK93" s="58">
        <v>159.67509999999999</v>
      </c>
      <c r="CL93" s="58">
        <v>18.2501</v>
      </c>
      <c r="CM93" s="32">
        <v>16.45</v>
      </c>
      <c r="CN93" s="32">
        <v>1.8892</v>
      </c>
      <c r="CO93" s="32">
        <v>3.6</v>
      </c>
      <c r="CP93" s="32">
        <v>11.7</v>
      </c>
      <c r="CQ93" s="32">
        <v>21.6</v>
      </c>
    </row>
    <row r="94" spans="1:95" ht="15.75" x14ac:dyDescent="0.25">
      <c r="A94" s="62" t="s">
        <v>135</v>
      </c>
      <c r="B94" s="52">
        <v>230.33019999999999</v>
      </c>
      <c r="C94" s="52">
        <v>39.122399999999999</v>
      </c>
      <c r="D94" s="52">
        <v>16.985354069939589</v>
      </c>
      <c r="E94" s="52">
        <v>181.3648</v>
      </c>
      <c r="F94" s="52">
        <v>31.147400000000001</v>
      </c>
      <c r="G94" s="52">
        <v>17.173894824133459</v>
      </c>
      <c r="H94" s="52">
        <v>182.37</v>
      </c>
      <c r="I94" s="52">
        <v>30.944800000000001</v>
      </c>
      <c r="J94" s="52">
        <v>16.968141689970938</v>
      </c>
      <c r="K94" s="52">
        <v>232.94130000000001</v>
      </c>
      <c r="L94" s="52">
        <v>38.7134</v>
      </c>
      <c r="M94" s="52">
        <v>16.619380075581272</v>
      </c>
      <c r="N94" s="52">
        <v>229.66849999999999</v>
      </c>
      <c r="O94" s="52">
        <v>39.329500000000003</v>
      </c>
      <c r="P94" s="52">
        <v>17.124464173362913</v>
      </c>
      <c r="Q94" s="52">
        <v>228.2784</v>
      </c>
      <c r="R94" s="52">
        <v>39.048900000000003</v>
      </c>
      <c r="S94" s="52">
        <v>17.105823415618822</v>
      </c>
      <c r="T94" s="52">
        <v>245.00030000000001</v>
      </c>
      <c r="U94" s="52">
        <v>42.332000000000001</v>
      </c>
      <c r="V94" s="52">
        <v>17.278346189780176</v>
      </c>
      <c r="W94" s="52">
        <v>474.50020000000001</v>
      </c>
      <c r="X94" s="52">
        <v>79.025999999999996</v>
      </c>
      <c r="Y94" s="52">
        <v>16.654576752549314</v>
      </c>
      <c r="Z94" s="52">
        <v>468.02109999999999</v>
      </c>
      <c r="AA94" s="52">
        <v>76.316699999999997</v>
      </c>
      <c r="AB94" s="52">
        <v>16.306252004450226</v>
      </c>
      <c r="AC94" s="52">
        <v>442.70069999999998</v>
      </c>
      <c r="AD94" s="52">
        <v>75.994299999999996</v>
      </c>
      <c r="AE94" s="52">
        <v>17.166067277508258</v>
      </c>
      <c r="AF94" s="52">
        <v>497.41359999999997</v>
      </c>
      <c r="AG94" s="52">
        <v>85.485600000000005</v>
      </c>
      <c r="AH94" s="52">
        <v>17.186019843446179</v>
      </c>
      <c r="AI94" s="52">
        <v>497.40320000000003</v>
      </c>
      <c r="AJ94" s="52">
        <v>84.694000000000003</v>
      </c>
      <c r="AK94" s="52">
        <v>17.027232635415292</v>
      </c>
      <c r="AL94" s="52">
        <v>454.50060000000002</v>
      </c>
      <c r="AM94" s="52">
        <v>80.901200000000003</v>
      </c>
      <c r="AN94" s="52">
        <v>17.800020506023532</v>
      </c>
      <c r="AO94" s="52">
        <v>456.85520000000002</v>
      </c>
      <c r="AP94" s="52">
        <v>81.216399999999993</v>
      </c>
      <c r="AQ94" s="52">
        <v>17.777273849569838</v>
      </c>
      <c r="AR94" s="52">
        <v>456.55029999999999</v>
      </c>
      <c r="AS94" s="52">
        <v>81.216300000000004</v>
      </c>
      <c r="AT94" s="52">
        <v>17.78912422136181</v>
      </c>
      <c r="AU94" s="52">
        <v>455.84609999999998</v>
      </c>
      <c r="AV94" s="52">
        <v>81.171400000000006</v>
      </c>
      <c r="AW94" s="52">
        <v>17.806755393980559</v>
      </c>
      <c r="AX94" s="52">
        <v>506.35</v>
      </c>
      <c r="AY94" s="52">
        <v>90.116200000000006</v>
      </c>
      <c r="AZ94" s="52">
        <v>17.797215364866201</v>
      </c>
      <c r="BA94" s="52">
        <v>506.35</v>
      </c>
      <c r="BB94" s="52">
        <v>90.116200000000006</v>
      </c>
      <c r="BC94" s="52">
        <v>17.797215364866201</v>
      </c>
      <c r="BD94" s="52">
        <v>504.4486</v>
      </c>
      <c r="BE94" s="52">
        <v>89.767300000000006</v>
      </c>
      <c r="BF94" s="52">
        <v>17.795133141414212</v>
      </c>
      <c r="BG94" s="52">
        <v>556.53</v>
      </c>
      <c r="BH94" s="52">
        <v>98.771000000000001</v>
      </c>
      <c r="BI94" s="52">
        <v>17.747650620811097</v>
      </c>
      <c r="BJ94" s="52">
        <v>551.84199999999998</v>
      </c>
      <c r="BK94" s="52">
        <v>98.329800000000006</v>
      </c>
      <c r="BL94" s="52">
        <v>17.818469779393379</v>
      </c>
      <c r="BM94" s="52">
        <v>547.12750000000005</v>
      </c>
      <c r="BN94" s="66">
        <v>97.184399999999997</v>
      </c>
      <c r="BO94" s="66">
        <v>17.762660440208176</v>
      </c>
      <c r="BP94" s="52">
        <v>101.9675</v>
      </c>
      <c r="BQ94" s="52">
        <v>116.21</v>
      </c>
      <c r="BR94" s="52">
        <v>116.16889999999999</v>
      </c>
      <c r="BS94" s="52">
        <v>107.25700000000001</v>
      </c>
      <c r="BT94" s="52">
        <v>65.273499999999999</v>
      </c>
      <c r="BU94" s="52">
        <v>41.656999999999996</v>
      </c>
      <c r="BV94" s="52">
        <v>83.898600000000002</v>
      </c>
      <c r="BW94" s="95">
        <v>83.316599999999994</v>
      </c>
      <c r="BX94" s="32">
        <v>67.512299999999996</v>
      </c>
      <c r="BY94" s="116">
        <v>83.46</v>
      </c>
      <c r="BZ94" s="32">
        <v>43.86</v>
      </c>
      <c r="CA94" s="32">
        <v>43.05</v>
      </c>
      <c r="CB94" s="32">
        <v>81.03</v>
      </c>
      <c r="CC94" s="52">
        <v>183.53100000000001</v>
      </c>
      <c r="CD94" s="52">
        <v>180.03</v>
      </c>
      <c r="CE94" s="95">
        <v>180.0301</v>
      </c>
      <c r="CF94" s="52">
        <v>189</v>
      </c>
      <c r="CG94" s="57">
        <v>185.93100000000001</v>
      </c>
      <c r="CH94" s="57">
        <v>180.00020000000001</v>
      </c>
      <c r="CI94" s="58">
        <v>199.75229999999999</v>
      </c>
      <c r="CJ94" s="58">
        <v>151.32980000000001</v>
      </c>
      <c r="CK94" s="58">
        <v>1.6175999999999999</v>
      </c>
      <c r="CL94" s="58">
        <v>1.8875999999999999</v>
      </c>
      <c r="CM94" s="32">
        <v>1.3480000000000001</v>
      </c>
      <c r="CN94" s="32">
        <v>0.2089</v>
      </c>
      <c r="CO94" s="32">
        <v>0</v>
      </c>
      <c r="CP94" s="32">
        <v>126.1152</v>
      </c>
      <c r="CQ94" s="32">
        <f>180+257.6435</f>
        <v>437.64350000000002</v>
      </c>
    </row>
    <row r="95" spans="1:95" ht="15.75" x14ac:dyDescent="0.25">
      <c r="A95" s="145" t="s">
        <v>136</v>
      </c>
      <c r="B95" s="88">
        <v>815.91759999999999</v>
      </c>
      <c r="C95" s="88">
        <v>0</v>
      </c>
      <c r="D95" s="88">
        <v>0</v>
      </c>
      <c r="E95" s="88">
        <v>866.31880000000001</v>
      </c>
      <c r="F95" s="88">
        <v>0</v>
      </c>
      <c r="G95" s="88">
        <v>0</v>
      </c>
      <c r="H95" s="88">
        <v>1229.9808</v>
      </c>
      <c r="I95" s="88">
        <v>0</v>
      </c>
      <c r="J95" s="88">
        <v>0</v>
      </c>
      <c r="K95" s="88">
        <v>1512.1064000000001</v>
      </c>
      <c r="L95" s="88">
        <v>0</v>
      </c>
      <c r="M95" s="88">
        <v>0</v>
      </c>
      <c r="N95" s="88">
        <v>2409.9758999999999</v>
      </c>
      <c r="O95" s="88">
        <v>13.039</v>
      </c>
      <c r="P95" s="88">
        <v>11.412611552829389</v>
      </c>
      <c r="Q95" s="88">
        <v>2338.9598000000001</v>
      </c>
      <c r="R95" s="88">
        <v>13.0373</v>
      </c>
      <c r="S95" s="88">
        <v>11.435124680951839</v>
      </c>
      <c r="T95" s="88">
        <v>2759.0792999999999</v>
      </c>
      <c r="U95" s="88">
        <v>18.3324</v>
      </c>
      <c r="V95" s="88">
        <v>9.4439026802645181</v>
      </c>
      <c r="W95" s="88">
        <v>3581.9360000000001</v>
      </c>
      <c r="X95" s="88">
        <v>46.9041</v>
      </c>
      <c r="Y95" s="88">
        <v>11.84186209501342</v>
      </c>
      <c r="Z95" s="88">
        <v>3319.6623999999997</v>
      </c>
      <c r="AA95" s="88">
        <v>45.977499999999999</v>
      </c>
      <c r="AB95" s="88">
        <v>11.970548454327583</v>
      </c>
      <c r="AC95" s="88">
        <v>3072.1959999999999</v>
      </c>
      <c r="AD95" s="88">
        <v>46.825899999999997</v>
      </c>
      <c r="AE95" s="88">
        <v>14.651275066653024</v>
      </c>
      <c r="AF95" s="88">
        <v>3546.8836999999999</v>
      </c>
      <c r="AG95" s="88">
        <v>74.260900000000007</v>
      </c>
      <c r="AH95" s="88">
        <v>14.523490179650228</v>
      </c>
      <c r="AI95" s="88">
        <v>3216.8872999999999</v>
      </c>
      <c r="AJ95" s="88">
        <v>52.094799999999999</v>
      </c>
      <c r="AK95" s="88">
        <v>12.22929134863814</v>
      </c>
      <c r="AL95" s="88">
        <v>3790.4810000000002</v>
      </c>
      <c r="AM95" s="88">
        <v>69.452799999999996</v>
      </c>
      <c r="AN95" s="88">
        <v>15.551702990585788</v>
      </c>
      <c r="AO95" s="88">
        <v>5334.3668000000007</v>
      </c>
      <c r="AP95" s="88">
        <v>57.440899999999999</v>
      </c>
      <c r="AQ95" s="88">
        <v>15.666262639927993</v>
      </c>
      <c r="AR95" s="88">
        <v>5351.2919999999995</v>
      </c>
      <c r="AS95" s="88">
        <v>92.133799999999994</v>
      </c>
      <c r="AT95" s="88">
        <v>16.158092690627988</v>
      </c>
      <c r="AU95" s="88">
        <v>4913.0937999999996</v>
      </c>
      <c r="AV95" s="88">
        <v>90.388800000000003</v>
      </c>
      <c r="AW95" s="88">
        <v>16.148519038408043</v>
      </c>
      <c r="AX95" s="88">
        <v>581.69950000000006</v>
      </c>
      <c r="AY95" s="88">
        <v>95.045000000000002</v>
      </c>
      <c r="AZ95" s="88">
        <v>16.339200741551647</v>
      </c>
      <c r="BA95" s="88">
        <v>6600.8113000000003</v>
      </c>
      <c r="BB95" s="88">
        <v>91.171899999999994</v>
      </c>
      <c r="BC95" s="88">
        <v>15.585965463700269</v>
      </c>
      <c r="BD95" s="88">
        <v>6194.2710999999999</v>
      </c>
      <c r="BE95" s="88">
        <v>76.885999999999996</v>
      </c>
      <c r="BF95" s="88">
        <v>13.620536002044304</v>
      </c>
      <c r="BG95" s="88">
        <v>5733.6972000000005</v>
      </c>
      <c r="BH95" s="88">
        <v>86.594499999999996</v>
      </c>
      <c r="BI95" s="88">
        <v>14.843902000025713</v>
      </c>
      <c r="BJ95" s="88">
        <v>5944.7224999999999</v>
      </c>
      <c r="BK95" s="88">
        <v>90.607799999999997</v>
      </c>
      <c r="BL95" s="88">
        <v>14.92507958533594</v>
      </c>
      <c r="BM95" s="88">
        <v>4503.0160999999998</v>
      </c>
      <c r="BN95" s="88">
        <v>67.861000000000004</v>
      </c>
      <c r="BO95" s="88">
        <v>58.034336048575028</v>
      </c>
      <c r="BP95" s="88">
        <v>94.942499999999995</v>
      </c>
      <c r="BQ95" s="88">
        <v>92.777799999999999</v>
      </c>
      <c r="BR95" s="88">
        <v>47.2378</v>
      </c>
      <c r="BS95" s="88">
        <v>898.0684</v>
      </c>
      <c r="BT95" s="88">
        <v>1004.2078</v>
      </c>
      <c r="BU95" s="88">
        <v>1003.0609000000001</v>
      </c>
      <c r="BV95" s="88">
        <v>565.77179999999998</v>
      </c>
      <c r="BW95" s="88">
        <v>840.30090000000007</v>
      </c>
      <c r="BX95" s="88">
        <v>830.10990000000004</v>
      </c>
      <c r="BY95" s="88">
        <v>801.0317</v>
      </c>
      <c r="BZ95" s="88">
        <v>931.99090000000001</v>
      </c>
      <c r="CA95" s="88">
        <v>863.26779999999997</v>
      </c>
      <c r="CB95" s="88">
        <v>613.35839999999996</v>
      </c>
      <c r="CC95" s="88">
        <v>758.71780000000001</v>
      </c>
      <c r="CD95" s="88">
        <v>686.47119999999995</v>
      </c>
      <c r="CE95" s="88">
        <v>465.88839999999999</v>
      </c>
      <c r="CF95" s="59">
        <v>442.31780000000003</v>
      </c>
      <c r="CG95" s="59">
        <v>245.33579999999998</v>
      </c>
      <c r="CH95" s="59">
        <v>460.65840000000003</v>
      </c>
      <c r="CI95" s="59">
        <v>431.79530000000005</v>
      </c>
      <c r="CJ95" s="59">
        <f>SUM(CJ93:CJ94)</f>
        <v>161.79490000000001</v>
      </c>
      <c r="CK95" s="59">
        <v>516.14390000000003</v>
      </c>
      <c r="CL95" s="59">
        <v>453.6189</v>
      </c>
      <c r="CM95" s="146">
        <f>SUM(CM93:CM94)</f>
        <v>17.797999999999998</v>
      </c>
      <c r="CN95" s="146">
        <f>SUM(CN93:CN94)</f>
        <v>2.0981000000000001</v>
      </c>
      <c r="CO95" s="146">
        <f>SUM(CO93:CO94)</f>
        <v>3.6</v>
      </c>
      <c r="CP95" s="146">
        <f>SUM(CP93:CP94)</f>
        <v>137.8152</v>
      </c>
      <c r="CQ95" s="146">
        <f>SUM(CQ93:CQ94)</f>
        <v>459.24350000000004</v>
      </c>
    </row>
    <row r="96" spans="1:95" ht="15.75" x14ac:dyDescent="0.25">
      <c r="A96" s="16" t="s">
        <v>137</v>
      </c>
      <c r="B96" s="12">
        <v>0.19450000000000001</v>
      </c>
      <c r="C96" s="12">
        <v>0</v>
      </c>
      <c r="D96" s="12">
        <v>0</v>
      </c>
      <c r="E96" s="12">
        <v>0.2412</v>
      </c>
      <c r="F96" s="12">
        <v>0</v>
      </c>
      <c r="G96" s="12">
        <v>0</v>
      </c>
      <c r="H96" s="12">
        <v>0.23169999999999999</v>
      </c>
      <c r="I96" s="12">
        <v>0</v>
      </c>
      <c r="J96" s="12">
        <v>0</v>
      </c>
      <c r="K96" s="12">
        <v>0.13639999999999999</v>
      </c>
      <c r="L96" s="12">
        <v>0</v>
      </c>
      <c r="M96" s="12">
        <v>0</v>
      </c>
      <c r="N96" s="12">
        <v>0.47420000000000001</v>
      </c>
      <c r="O96" s="12">
        <v>0</v>
      </c>
      <c r="P96" s="12">
        <v>0</v>
      </c>
      <c r="Q96" s="12">
        <v>0.42030000000000001</v>
      </c>
      <c r="R96" s="12">
        <v>0</v>
      </c>
      <c r="S96" s="12">
        <v>0</v>
      </c>
      <c r="T96" s="12">
        <v>0.90039999999999998</v>
      </c>
      <c r="U96" s="12">
        <v>0</v>
      </c>
      <c r="V96" s="12">
        <v>0</v>
      </c>
      <c r="W96" s="12">
        <v>0.75049999999999994</v>
      </c>
      <c r="X96" s="12">
        <v>0</v>
      </c>
      <c r="Y96" s="12">
        <v>0</v>
      </c>
      <c r="Z96" s="12">
        <v>0.69069999999999998</v>
      </c>
      <c r="AA96" s="12">
        <v>0</v>
      </c>
      <c r="AB96" s="12">
        <v>0</v>
      </c>
      <c r="AC96" s="12">
        <v>0.90059999999999996</v>
      </c>
      <c r="AD96" s="12">
        <v>0</v>
      </c>
      <c r="AE96" s="12">
        <v>0</v>
      </c>
      <c r="AF96" s="12">
        <v>0.99970000000000003</v>
      </c>
      <c r="AG96" s="12">
        <v>0</v>
      </c>
      <c r="AH96" s="12">
        <v>0</v>
      </c>
      <c r="AI96" s="12">
        <v>0.95230000000000004</v>
      </c>
      <c r="AJ96" s="12">
        <v>0</v>
      </c>
      <c r="AK96" s="12">
        <v>0</v>
      </c>
      <c r="AL96" s="12">
        <v>1.3526</v>
      </c>
      <c r="AM96" s="12">
        <v>0</v>
      </c>
      <c r="AN96" s="12">
        <v>0</v>
      </c>
      <c r="AO96" s="12">
        <v>1.3526</v>
      </c>
      <c r="AP96" s="12">
        <v>0</v>
      </c>
      <c r="AQ96" s="12">
        <v>0</v>
      </c>
      <c r="AR96" s="12">
        <v>0.86080000000000001</v>
      </c>
      <c r="AS96" s="12">
        <v>0</v>
      </c>
      <c r="AT96" s="12">
        <v>0</v>
      </c>
      <c r="AU96" s="12">
        <v>0.51129999999999998</v>
      </c>
      <c r="AV96" s="12">
        <v>0</v>
      </c>
      <c r="AW96" s="12">
        <v>0</v>
      </c>
      <c r="AX96" s="12">
        <v>1.3508</v>
      </c>
      <c r="AY96" s="12">
        <v>0</v>
      </c>
      <c r="AZ96" s="12">
        <v>0</v>
      </c>
      <c r="BA96" s="12">
        <v>1.1013999999999999</v>
      </c>
      <c r="BB96" s="12">
        <v>0</v>
      </c>
      <c r="BC96" s="12">
        <v>0</v>
      </c>
      <c r="BD96" s="12">
        <v>0.71050000000000002</v>
      </c>
      <c r="BE96" s="12">
        <v>0</v>
      </c>
      <c r="BF96" s="12">
        <v>0</v>
      </c>
      <c r="BG96" s="12">
        <v>2.1006</v>
      </c>
      <c r="BH96" s="12">
        <v>0</v>
      </c>
      <c r="BI96" s="12">
        <v>0</v>
      </c>
      <c r="BJ96" s="12">
        <v>1.875</v>
      </c>
      <c r="BK96" s="12">
        <v>0</v>
      </c>
      <c r="BL96" s="12">
        <v>0</v>
      </c>
      <c r="BM96" s="12">
        <v>1.3642000000000001</v>
      </c>
      <c r="BN96" s="12">
        <v>0</v>
      </c>
      <c r="BO96" s="51">
        <v>0</v>
      </c>
      <c r="BP96" s="12">
        <v>0</v>
      </c>
      <c r="BQ96" s="12">
        <v>0</v>
      </c>
      <c r="BR96" s="57">
        <v>0</v>
      </c>
      <c r="BS96" s="57">
        <v>0</v>
      </c>
      <c r="BT96" s="57">
        <v>0</v>
      </c>
      <c r="BU96" s="13">
        <v>0</v>
      </c>
      <c r="BV96" s="57">
        <v>0</v>
      </c>
      <c r="BW96" s="98">
        <v>0</v>
      </c>
      <c r="BX96" s="13">
        <v>0</v>
      </c>
      <c r="BY96" s="119">
        <v>0</v>
      </c>
      <c r="BZ96" s="13">
        <v>0</v>
      </c>
      <c r="CA96" s="12">
        <v>0</v>
      </c>
      <c r="CB96" s="12">
        <v>0</v>
      </c>
      <c r="CC96" s="12">
        <v>0</v>
      </c>
      <c r="CD96" s="12">
        <v>0</v>
      </c>
      <c r="CE96" s="81">
        <v>0</v>
      </c>
      <c r="CF96" s="12">
        <v>0</v>
      </c>
      <c r="CG96" s="12">
        <v>0</v>
      </c>
      <c r="CH96" s="12">
        <v>0</v>
      </c>
      <c r="CI96" s="13">
        <v>0</v>
      </c>
      <c r="CJ96" s="13">
        <v>0</v>
      </c>
      <c r="CK96" s="13">
        <v>0</v>
      </c>
      <c r="CL96" s="13">
        <v>0</v>
      </c>
      <c r="CM96" s="13">
        <v>0</v>
      </c>
      <c r="CN96" s="13">
        <v>0</v>
      </c>
      <c r="CO96" s="13">
        <v>0</v>
      </c>
      <c r="CP96" s="13">
        <v>0</v>
      </c>
      <c r="CQ96" s="13">
        <v>0</v>
      </c>
    </row>
    <row r="97" spans="1:95" ht="15.75" x14ac:dyDescent="0.25">
      <c r="A97" s="16" t="s">
        <v>138</v>
      </c>
      <c r="B97" s="12">
        <v>91.524199999999993</v>
      </c>
      <c r="C97" s="12">
        <v>14.095000000000001</v>
      </c>
      <c r="D97" s="12">
        <v>15.400298500287358</v>
      </c>
      <c r="E97" s="12">
        <v>106.1377</v>
      </c>
      <c r="F97" s="12">
        <v>43.036000000000001</v>
      </c>
      <c r="G97" s="12">
        <v>40.547326727449345</v>
      </c>
      <c r="H97" s="12">
        <v>101.9773</v>
      </c>
      <c r="I97" s="12">
        <v>17.537199999999999</v>
      </c>
      <c r="J97" s="12">
        <v>17.197160544552563</v>
      </c>
      <c r="K97" s="12">
        <v>100.8381</v>
      </c>
      <c r="L97" s="12">
        <v>17.380099999999999</v>
      </c>
      <c r="M97" s="12">
        <v>17.235648033828483</v>
      </c>
      <c r="N97" s="12">
        <v>148.49760000000001</v>
      </c>
      <c r="O97" s="12">
        <v>25.183499999999999</v>
      </c>
      <c r="P97" s="12">
        <v>16.958859941170765</v>
      </c>
      <c r="Q97" s="12">
        <v>148.49760000000001</v>
      </c>
      <c r="R97" s="12">
        <v>25.6435</v>
      </c>
      <c r="S97" s="12">
        <v>17.268629257307861</v>
      </c>
      <c r="T97" s="12">
        <v>195.29949999999999</v>
      </c>
      <c r="U97" s="12">
        <v>29.508600000000001</v>
      </c>
      <c r="V97" s="12">
        <v>15.109408882255204</v>
      </c>
      <c r="W97" s="12">
        <v>219.59950000000001</v>
      </c>
      <c r="X97" s="12">
        <v>33.43</v>
      </c>
      <c r="Y97" s="12">
        <v>15.223167630163093</v>
      </c>
      <c r="Z97" s="12">
        <v>219.59950000000001</v>
      </c>
      <c r="AA97" s="12">
        <v>33.43</v>
      </c>
      <c r="AB97" s="12">
        <v>15.223167630163093</v>
      </c>
      <c r="AC97" s="12">
        <v>324.6995</v>
      </c>
      <c r="AD97" s="12">
        <v>63.692</v>
      </c>
      <c r="AE97" s="12">
        <v>19.615675416808465</v>
      </c>
      <c r="AF97" s="12">
        <v>297.09949999999998</v>
      </c>
      <c r="AG97" s="12">
        <v>58.723999999999997</v>
      </c>
      <c r="AH97" s="12">
        <v>19.765768707116642</v>
      </c>
      <c r="AI97" s="12">
        <v>297.09949999999998</v>
      </c>
      <c r="AJ97" s="12">
        <v>58.724000000000004</v>
      </c>
      <c r="AK97" s="12">
        <v>19.765768707116642</v>
      </c>
      <c r="AL97" s="12">
        <v>310.44749999999999</v>
      </c>
      <c r="AM97" s="12">
        <v>55.500500000000002</v>
      </c>
      <c r="AN97" s="12">
        <v>17.877579945079283</v>
      </c>
      <c r="AO97" s="12">
        <v>312.17750000000001</v>
      </c>
      <c r="AP97" s="12">
        <v>55.796500000000002</v>
      </c>
      <c r="AQ97" s="12">
        <v>17.873325271680372</v>
      </c>
      <c r="AR97" s="12">
        <v>296.34750000000003</v>
      </c>
      <c r="AS97" s="12">
        <v>52.989999999999995</v>
      </c>
      <c r="AT97" s="12">
        <v>17.881034933650525</v>
      </c>
      <c r="AU97" s="12">
        <v>262.07900000000001</v>
      </c>
      <c r="AV97" s="12">
        <v>46.847499999999997</v>
      </c>
      <c r="AW97" s="12">
        <v>17.87533529966155</v>
      </c>
      <c r="AX97" s="12">
        <v>328.64920000000001</v>
      </c>
      <c r="AY97" s="12">
        <v>58.739999999999995</v>
      </c>
      <c r="AZ97" s="12">
        <v>17.873160804894699</v>
      </c>
      <c r="BA97" s="12">
        <v>298.89929999999998</v>
      </c>
      <c r="BB97" s="12">
        <v>53.44</v>
      </c>
      <c r="BC97" s="12">
        <v>17.878931131655378</v>
      </c>
      <c r="BD97" s="12">
        <v>268.5052</v>
      </c>
      <c r="BE97" s="12">
        <v>47.994199999999999</v>
      </c>
      <c r="BF97" s="12">
        <v>17.874588648562487</v>
      </c>
      <c r="BG97" s="12">
        <v>307.90030000000002</v>
      </c>
      <c r="BH97" s="12">
        <v>55.225099999999998</v>
      </c>
      <c r="BI97" s="12">
        <v>17.936033189964412</v>
      </c>
      <c r="BJ97" s="12">
        <v>344.56700000000001</v>
      </c>
      <c r="BK97" s="12">
        <v>61.793999999999997</v>
      </c>
      <c r="BL97" s="12">
        <v>17.933812582168343</v>
      </c>
      <c r="BM97" s="12">
        <v>316.55680000000001</v>
      </c>
      <c r="BN97" s="12">
        <v>56.730699999999999</v>
      </c>
      <c r="BO97" s="51">
        <v>17.921175599450081</v>
      </c>
      <c r="BP97" s="12">
        <v>79.403099999999995</v>
      </c>
      <c r="BQ97" s="12">
        <v>76.302300000000002</v>
      </c>
      <c r="BR97" s="57">
        <v>70.416200000000003</v>
      </c>
      <c r="BS97" s="57">
        <v>79.215000000000003</v>
      </c>
      <c r="BT97" s="57">
        <v>60.061199999999999</v>
      </c>
      <c r="BU97" s="12">
        <v>49.630300000000005</v>
      </c>
      <c r="BV97" s="57">
        <v>37.506999999999998</v>
      </c>
      <c r="BW97" s="81">
        <v>28.9621</v>
      </c>
      <c r="BX97" s="13">
        <v>17.881900000000002</v>
      </c>
      <c r="BY97" s="119">
        <v>34.25</v>
      </c>
      <c r="BZ97" s="13">
        <v>28.449999999999996</v>
      </c>
      <c r="CA97" s="13">
        <v>12.07</v>
      </c>
      <c r="CB97" s="13">
        <v>28.270000000000003</v>
      </c>
      <c r="CC97" s="12">
        <v>23.82</v>
      </c>
      <c r="CD97" s="12">
        <v>13.016300000000001</v>
      </c>
      <c r="CE97" s="81">
        <v>33.61</v>
      </c>
      <c r="CF97" s="12">
        <v>13.388999999999999</v>
      </c>
      <c r="CG97" s="12">
        <v>11.2134</v>
      </c>
      <c r="CH97" s="12">
        <v>18.013400000000001</v>
      </c>
      <c r="CI97" s="32">
        <v>21.3904</v>
      </c>
      <c r="CJ97" s="32">
        <f>4.8249+7.9899+-2.3262</f>
        <v>10.4886</v>
      </c>
      <c r="CK97" s="32">
        <v>21.168399999999998</v>
      </c>
      <c r="CL97" s="32">
        <v>59.768299999999996</v>
      </c>
      <c r="CM97" s="13">
        <f>4.445+10.69+11.67</f>
        <v>26.805</v>
      </c>
      <c r="CN97" s="13">
        <f>4.445+8.89</f>
        <v>13.335000000000001</v>
      </c>
      <c r="CO97" s="13">
        <f>8.89+26.7868+0.0001+46.67</f>
        <v>82.346900000000005</v>
      </c>
      <c r="CP97" s="13">
        <f>8.94+20.52+46.67</f>
        <v>76.13</v>
      </c>
      <c r="CQ97" s="13">
        <f>8.89+26.67+0.0001+54</f>
        <v>89.560100000000006</v>
      </c>
    </row>
    <row r="98" spans="1:95" ht="15.75" x14ac:dyDescent="0.25">
      <c r="A98" s="19" t="s">
        <v>198</v>
      </c>
      <c r="B98" s="20">
        <v>91.718699999999998</v>
      </c>
      <c r="C98" s="20">
        <v>14.095000000000001</v>
      </c>
      <c r="D98" s="20">
        <v>15.367640404846558</v>
      </c>
      <c r="E98" s="20">
        <v>106.3789</v>
      </c>
      <c r="F98" s="20">
        <v>43.036000000000001</v>
      </c>
      <c r="G98" s="20">
        <v>40.455391059693227</v>
      </c>
      <c r="H98" s="20">
        <v>102.209</v>
      </c>
      <c r="I98" s="20">
        <v>17.537199999999999</v>
      </c>
      <c r="J98" s="20">
        <v>17.1581758944907</v>
      </c>
      <c r="K98" s="20">
        <v>100.97449999999999</v>
      </c>
      <c r="L98" s="20">
        <v>17.380099999999999</v>
      </c>
      <c r="M98" s="20">
        <v>17.212365498219846</v>
      </c>
      <c r="N98" s="20">
        <v>148.9718</v>
      </c>
      <c r="O98" s="20">
        <v>25.183499999999999</v>
      </c>
      <c r="P98" s="20">
        <v>16.90487729892503</v>
      </c>
      <c r="Q98" s="20">
        <v>148.9179</v>
      </c>
      <c r="R98" s="20">
        <v>25.6435</v>
      </c>
      <c r="S98" s="20">
        <v>17.219890960052485</v>
      </c>
      <c r="T98" s="20">
        <v>196.19989999999999</v>
      </c>
      <c r="U98" s="20">
        <v>29.508600000000001</v>
      </c>
      <c r="V98" s="20">
        <v>15.040068827761891</v>
      </c>
      <c r="W98" s="20">
        <v>220.35</v>
      </c>
      <c r="X98" s="20">
        <v>33.43</v>
      </c>
      <c r="Y98" s="20">
        <v>15.171318357159066</v>
      </c>
      <c r="Z98" s="20">
        <v>220.2902</v>
      </c>
      <c r="AA98" s="20">
        <v>33.43</v>
      </c>
      <c r="AB98" s="20">
        <v>15.175436764776645</v>
      </c>
      <c r="AC98" s="20">
        <v>325.6001</v>
      </c>
      <c r="AD98" s="20">
        <v>63.692</v>
      </c>
      <c r="AE98" s="20">
        <v>19.561419053618227</v>
      </c>
      <c r="AF98" s="20">
        <v>298.0992</v>
      </c>
      <c r="AG98" s="20">
        <v>58.723999999999997</v>
      </c>
      <c r="AH98" s="20">
        <v>19.699482588346427</v>
      </c>
      <c r="AI98" s="20">
        <v>298.05179999999996</v>
      </c>
      <c r="AJ98" s="20">
        <v>58.724000000000004</v>
      </c>
      <c r="AK98" s="20">
        <v>19.702615451408114</v>
      </c>
      <c r="AL98" s="20">
        <v>311.80009999999999</v>
      </c>
      <c r="AM98" s="20">
        <v>55.500500000000002</v>
      </c>
      <c r="AN98" s="20">
        <v>17.800026363044786</v>
      </c>
      <c r="AO98" s="20">
        <v>313.5301</v>
      </c>
      <c r="AP98" s="20">
        <v>55.796500000000002</v>
      </c>
      <c r="AQ98" s="20">
        <v>17.796217970778564</v>
      </c>
      <c r="AR98" s="20">
        <v>297.20830000000001</v>
      </c>
      <c r="AS98" s="20">
        <v>52.989999999999995</v>
      </c>
      <c r="AT98" s="20">
        <v>17.829246356848042</v>
      </c>
      <c r="AU98" s="20">
        <v>262.59030000000001</v>
      </c>
      <c r="AV98" s="20">
        <v>46.847499999999997</v>
      </c>
      <c r="AW98" s="20">
        <v>17.840529524510231</v>
      </c>
      <c r="AX98" s="20">
        <v>330</v>
      </c>
      <c r="AY98" s="20">
        <v>58.739999999999995</v>
      </c>
      <c r="AZ98" s="20">
        <v>17.8</v>
      </c>
      <c r="BA98" s="20">
        <v>300.00069999999999</v>
      </c>
      <c r="BB98" s="20">
        <v>53.44</v>
      </c>
      <c r="BC98" s="20">
        <v>17.813291768985874</v>
      </c>
      <c r="BD98" s="20">
        <v>269.21570000000003</v>
      </c>
      <c r="BE98" s="20">
        <v>47.994199999999999</v>
      </c>
      <c r="BF98" s="20">
        <v>17.827414968740676</v>
      </c>
      <c r="BG98" s="20">
        <v>310.0009</v>
      </c>
      <c r="BH98" s="20">
        <v>55.225099999999998</v>
      </c>
      <c r="BI98" s="20">
        <v>17.814496667590319</v>
      </c>
      <c r="BJ98" s="20">
        <v>346.44200000000001</v>
      </c>
      <c r="BK98" s="20">
        <v>61.793999999999997</v>
      </c>
      <c r="BL98" s="20">
        <v>17.836751894978089</v>
      </c>
      <c r="BM98" s="20">
        <v>317.92099999999999</v>
      </c>
      <c r="BN98" s="20">
        <v>56.730699999999999</v>
      </c>
      <c r="BO98" s="20">
        <v>17.844275779203009</v>
      </c>
      <c r="BP98" s="20">
        <v>79.403099999999995</v>
      </c>
      <c r="BQ98" s="20">
        <v>76.302300000000002</v>
      </c>
      <c r="BR98" s="59">
        <v>70.416200000000003</v>
      </c>
      <c r="BS98" s="59">
        <v>79.215000000000003</v>
      </c>
      <c r="BT98" s="59">
        <v>60.061199999999999</v>
      </c>
      <c r="BU98" s="20">
        <v>49.630300000000005</v>
      </c>
      <c r="BV98" s="59">
        <v>37.506999999999998</v>
      </c>
      <c r="BW98" s="89">
        <v>28.9621</v>
      </c>
      <c r="BX98" s="89">
        <v>17.881900000000002</v>
      </c>
      <c r="BY98" s="89">
        <v>34.25</v>
      </c>
      <c r="BZ98" s="89">
        <v>28.449999999999996</v>
      </c>
      <c r="CA98" s="89">
        <v>12.07</v>
      </c>
      <c r="CB98" s="89">
        <v>28.270000000000003</v>
      </c>
      <c r="CC98" s="89">
        <v>23.82</v>
      </c>
      <c r="CD98" s="89">
        <v>13.016300000000001</v>
      </c>
      <c r="CE98" s="89">
        <v>33.61</v>
      </c>
      <c r="CF98" s="20">
        <v>13.388999999999999</v>
      </c>
      <c r="CG98" s="20">
        <v>11.2134</v>
      </c>
      <c r="CH98" s="20">
        <v>18.013400000000001</v>
      </c>
      <c r="CI98" s="20">
        <v>21.3904</v>
      </c>
      <c r="CJ98" s="20">
        <f>4.8249+7.9899+-2.3262</f>
        <v>10.4886</v>
      </c>
      <c r="CK98" s="20">
        <v>21.168399999999998</v>
      </c>
      <c r="CL98" s="20">
        <v>59.768299999999996</v>
      </c>
      <c r="CM98" s="21">
        <f>4.445+10.69+11.67</f>
        <v>26.805</v>
      </c>
      <c r="CN98" s="21">
        <f>8.89+26.7868+0.0001+46.67</f>
        <v>82.346900000000005</v>
      </c>
      <c r="CO98" s="21">
        <f>8.89+26.7868+0.0001+46.67</f>
        <v>82.346900000000005</v>
      </c>
      <c r="CP98" s="21">
        <f>8.89+26.7868+0.0001+46.67</f>
        <v>82.346900000000005</v>
      </c>
      <c r="CQ98" s="21">
        <f>8.89+26.7868+0.0001+46.67</f>
        <v>82.346900000000005</v>
      </c>
    </row>
    <row r="99" spans="1:95" ht="15.75" x14ac:dyDescent="0.25">
      <c r="A99" s="31" t="s">
        <v>139</v>
      </c>
      <c r="B99" s="20">
        <v>58.161299999999997</v>
      </c>
      <c r="C99" s="20">
        <v>0</v>
      </c>
      <c r="D99" s="20">
        <v>0</v>
      </c>
      <c r="E99" s="20">
        <v>87.955100000000002</v>
      </c>
      <c r="F99" s="20">
        <v>0</v>
      </c>
      <c r="G99" s="20">
        <v>0</v>
      </c>
      <c r="H99" s="20">
        <v>71.663799999999995</v>
      </c>
      <c r="I99" s="20">
        <v>0</v>
      </c>
      <c r="J99" s="20">
        <v>0</v>
      </c>
      <c r="K99" s="20">
        <v>95.929299999999998</v>
      </c>
      <c r="L99" s="20">
        <v>0</v>
      </c>
      <c r="M99" s="20">
        <v>0</v>
      </c>
      <c r="N99" s="20">
        <v>91.963700000000003</v>
      </c>
      <c r="O99" s="20">
        <v>0</v>
      </c>
      <c r="P99" s="20">
        <v>0</v>
      </c>
      <c r="Q99" s="20">
        <v>75.001099999999994</v>
      </c>
      <c r="R99" s="20">
        <v>0</v>
      </c>
      <c r="S99" s="20">
        <v>0</v>
      </c>
      <c r="T99" s="20">
        <v>205.95160000000001</v>
      </c>
      <c r="U99" s="20">
        <v>0</v>
      </c>
      <c r="V99" s="20">
        <v>0</v>
      </c>
      <c r="W99" s="20">
        <v>90.313199999999995</v>
      </c>
      <c r="X99" s="20">
        <v>0</v>
      </c>
      <c r="Y99" s="20">
        <v>0</v>
      </c>
      <c r="Z99" s="20">
        <v>77.120500000000007</v>
      </c>
      <c r="AA99" s="20">
        <v>0</v>
      </c>
      <c r="AB99" s="20">
        <v>0</v>
      </c>
      <c r="AC99" s="20">
        <v>66.100999999999999</v>
      </c>
      <c r="AD99" s="20">
        <v>0</v>
      </c>
      <c r="AE99" s="20">
        <v>0</v>
      </c>
      <c r="AF99" s="20">
        <v>64.045000000000002</v>
      </c>
      <c r="AG99" s="20">
        <v>0</v>
      </c>
      <c r="AH99" s="20">
        <v>0</v>
      </c>
      <c r="AI99" s="20">
        <v>28.5441</v>
      </c>
      <c r="AJ99" s="20">
        <v>0</v>
      </c>
      <c r="AK99" s="20">
        <v>0</v>
      </c>
      <c r="AL99" s="20">
        <v>101.0031</v>
      </c>
      <c r="AM99" s="20">
        <v>0</v>
      </c>
      <c r="AN99" s="20">
        <v>0</v>
      </c>
      <c r="AO99" s="20">
        <v>703.13059999999996</v>
      </c>
      <c r="AP99" s="20">
        <v>0</v>
      </c>
      <c r="AQ99" s="20">
        <v>0</v>
      </c>
      <c r="AR99" s="20">
        <v>863.12810000000002</v>
      </c>
      <c r="AS99" s="20">
        <v>0</v>
      </c>
      <c r="AT99" s="20">
        <v>0</v>
      </c>
      <c r="AU99" s="20">
        <v>421.27100000000002</v>
      </c>
      <c r="AV99" s="20">
        <v>0</v>
      </c>
      <c r="AW99" s="20">
        <v>0</v>
      </c>
      <c r="AX99" s="20">
        <v>959.83</v>
      </c>
      <c r="AY99" s="20">
        <v>0</v>
      </c>
      <c r="AZ99" s="20">
        <v>0</v>
      </c>
      <c r="BA99" s="20">
        <v>867.0104</v>
      </c>
      <c r="BB99" s="20">
        <v>0</v>
      </c>
      <c r="BC99" s="20">
        <v>0</v>
      </c>
      <c r="BD99" s="20">
        <v>540.28250000000003</v>
      </c>
      <c r="BE99" s="20">
        <v>0</v>
      </c>
      <c r="BF99" s="20">
        <v>0</v>
      </c>
      <c r="BG99" s="20">
        <v>1396.7932000000001</v>
      </c>
      <c r="BH99" s="20">
        <v>0</v>
      </c>
      <c r="BI99" s="20">
        <v>0</v>
      </c>
      <c r="BJ99" s="20">
        <v>1067.6095</v>
      </c>
      <c r="BK99" s="20">
        <v>0</v>
      </c>
      <c r="BL99" s="20">
        <v>0</v>
      </c>
      <c r="BM99" s="20">
        <v>834.89689999999996</v>
      </c>
      <c r="BN99" s="20">
        <v>0</v>
      </c>
      <c r="BO99" s="20">
        <v>0</v>
      </c>
      <c r="BP99" s="20">
        <v>0</v>
      </c>
      <c r="BQ99" s="20">
        <v>0</v>
      </c>
      <c r="BR99" s="59">
        <v>0</v>
      </c>
      <c r="BS99" s="59">
        <v>0</v>
      </c>
      <c r="BT99" s="59">
        <v>0</v>
      </c>
      <c r="BU99" s="21">
        <v>0</v>
      </c>
      <c r="BV99" s="59">
        <v>0</v>
      </c>
      <c r="BW99" s="97">
        <v>0</v>
      </c>
      <c r="BX99" s="21">
        <v>0</v>
      </c>
      <c r="BY99" s="118">
        <v>0</v>
      </c>
      <c r="BZ99" s="21">
        <v>0</v>
      </c>
      <c r="CA99" s="20">
        <v>0</v>
      </c>
      <c r="CB99" s="20">
        <v>0</v>
      </c>
      <c r="CC99" s="20">
        <v>0</v>
      </c>
      <c r="CD99" s="20">
        <v>0</v>
      </c>
      <c r="CE99" s="89">
        <v>0</v>
      </c>
      <c r="CF99" s="20">
        <v>0</v>
      </c>
      <c r="CG99" s="20">
        <v>0</v>
      </c>
      <c r="CH99" s="20">
        <v>0</v>
      </c>
      <c r="CI99" s="21">
        <v>0</v>
      </c>
      <c r="CJ99" s="21">
        <v>0</v>
      </c>
      <c r="CK99" s="21">
        <v>0</v>
      </c>
      <c r="CL99" s="21">
        <v>0</v>
      </c>
      <c r="CM99" s="21">
        <v>0</v>
      </c>
      <c r="CN99" s="21">
        <v>0</v>
      </c>
      <c r="CO99" s="21">
        <v>0</v>
      </c>
      <c r="CP99" s="21">
        <v>0</v>
      </c>
      <c r="CQ99" s="21">
        <v>0</v>
      </c>
    </row>
    <row r="100" spans="1:95" ht="15.75" x14ac:dyDescent="0.25">
      <c r="A100" s="31" t="s">
        <v>140</v>
      </c>
      <c r="B100" s="20">
        <v>224.3049</v>
      </c>
      <c r="C100" s="20">
        <v>0</v>
      </c>
      <c r="D100" s="20">
        <v>0</v>
      </c>
      <c r="E100" s="20">
        <v>535.29809999999998</v>
      </c>
      <c r="F100" s="20">
        <v>0</v>
      </c>
      <c r="G100" s="20">
        <v>0</v>
      </c>
      <c r="H100" s="20">
        <v>506.09100000000001</v>
      </c>
      <c r="I100" s="20">
        <v>0</v>
      </c>
      <c r="J100" s="20">
        <v>0</v>
      </c>
      <c r="K100" s="20">
        <v>429.82650000000001</v>
      </c>
      <c r="L100" s="20">
        <v>0</v>
      </c>
      <c r="M100" s="20">
        <v>0</v>
      </c>
      <c r="N100" s="20">
        <v>452.88200000000001</v>
      </c>
      <c r="O100" s="20">
        <v>0</v>
      </c>
      <c r="P100" s="20">
        <v>0</v>
      </c>
      <c r="Q100" s="20">
        <v>362.78969999999998</v>
      </c>
      <c r="R100" s="20">
        <v>0</v>
      </c>
      <c r="S100" s="20">
        <v>0</v>
      </c>
      <c r="T100" s="20">
        <v>470.8861</v>
      </c>
      <c r="U100" s="20">
        <v>0</v>
      </c>
      <c r="V100" s="20">
        <v>0</v>
      </c>
      <c r="W100" s="20">
        <v>470.8861</v>
      </c>
      <c r="X100" s="20">
        <v>0</v>
      </c>
      <c r="Y100" s="20">
        <v>0</v>
      </c>
      <c r="Z100" s="20">
        <v>366.78910000000002</v>
      </c>
      <c r="AA100" s="20">
        <v>0</v>
      </c>
      <c r="AB100" s="20">
        <v>0</v>
      </c>
      <c r="AC100" s="20">
        <v>477.86700000000002</v>
      </c>
      <c r="AD100" s="20">
        <v>0</v>
      </c>
      <c r="AE100" s="20">
        <v>0</v>
      </c>
      <c r="AF100" s="20">
        <v>578.05930000000001</v>
      </c>
      <c r="AG100" s="20">
        <v>0</v>
      </c>
      <c r="AH100" s="20">
        <v>0</v>
      </c>
      <c r="AI100" s="20">
        <v>549.54459999999995</v>
      </c>
      <c r="AJ100" s="20">
        <v>0</v>
      </c>
      <c r="AK100" s="20">
        <v>0</v>
      </c>
      <c r="AL100" s="20">
        <v>497.96</v>
      </c>
      <c r="AM100" s="20">
        <v>0</v>
      </c>
      <c r="AN100" s="20">
        <v>0</v>
      </c>
      <c r="AO100" s="20">
        <v>5709.4171999999999</v>
      </c>
      <c r="AP100" s="20">
        <v>0</v>
      </c>
      <c r="AQ100" s="20">
        <v>0</v>
      </c>
      <c r="AR100" s="20">
        <v>4069.0063</v>
      </c>
      <c r="AS100" s="20">
        <v>0</v>
      </c>
      <c r="AT100" s="20">
        <v>0</v>
      </c>
      <c r="AU100" s="20">
        <v>3857.4994999999999</v>
      </c>
      <c r="AV100" s="20">
        <v>0</v>
      </c>
      <c r="AW100" s="20">
        <v>0</v>
      </c>
      <c r="AX100" s="20">
        <v>5234.6198999999997</v>
      </c>
      <c r="AY100" s="20">
        <v>0</v>
      </c>
      <c r="AZ100" s="20">
        <v>0</v>
      </c>
      <c r="BA100" s="20">
        <v>4587.1364999999996</v>
      </c>
      <c r="BB100" s="20">
        <v>0</v>
      </c>
      <c r="BC100" s="20">
        <v>0</v>
      </c>
      <c r="BD100" s="20">
        <v>3949.1876000000002</v>
      </c>
      <c r="BE100" s="20">
        <v>0</v>
      </c>
      <c r="BF100" s="20">
        <v>0</v>
      </c>
      <c r="BG100" s="20">
        <v>4679.5998</v>
      </c>
      <c r="BH100" s="20">
        <v>0</v>
      </c>
      <c r="BI100" s="20">
        <v>0</v>
      </c>
      <c r="BJ100" s="20">
        <v>3135.8888000000002</v>
      </c>
      <c r="BK100" s="20">
        <v>0</v>
      </c>
      <c r="BL100" s="20">
        <v>0</v>
      </c>
      <c r="BM100" s="20">
        <v>2717.7244999999998</v>
      </c>
      <c r="BN100" s="20">
        <v>0</v>
      </c>
      <c r="BO100" s="20">
        <v>0</v>
      </c>
      <c r="BP100" s="20">
        <v>0</v>
      </c>
      <c r="BQ100" s="20">
        <v>0</v>
      </c>
      <c r="BR100" s="59">
        <v>0</v>
      </c>
      <c r="BS100" s="59">
        <v>0</v>
      </c>
      <c r="BT100" s="59">
        <v>0</v>
      </c>
      <c r="BU100" s="21">
        <v>0</v>
      </c>
      <c r="BV100" s="59">
        <v>0</v>
      </c>
      <c r="BW100" s="97">
        <v>0</v>
      </c>
      <c r="BX100" s="21">
        <v>0</v>
      </c>
      <c r="BY100" s="118">
        <v>0</v>
      </c>
      <c r="BZ100" s="21">
        <v>0</v>
      </c>
      <c r="CA100" s="20">
        <v>0</v>
      </c>
      <c r="CB100" s="20">
        <v>0</v>
      </c>
      <c r="CC100" s="20">
        <v>0</v>
      </c>
      <c r="CD100" s="20">
        <v>0</v>
      </c>
      <c r="CE100" s="89">
        <v>0</v>
      </c>
      <c r="CF100" s="20">
        <v>0</v>
      </c>
      <c r="CG100" s="20">
        <v>0</v>
      </c>
      <c r="CH100" s="20">
        <v>0</v>
      </c>
      <c r="CI100" s="21">
        <v>0</v>
      </c>
      <c r="CJ100" s="21">
        <v>0</v>
      </c>
      <c r="CK100" s="21">
        <v>0</v>
      </c>
      <c r="CL100" s="21">
        <v>0</v>
      </c>
      <c r="CM100" s="21">
        <v>0</v>
      </c>
      <c r="CN100" s="21">
        <v>0</v>
      </c>
      <c r="CO100" s="21">
        <v>14.65</v>
      </c>
      <c r="CP100" s="21">
        <v>14.65</v>
      </c>
      <c r="CQ100" s="21">
        <v>14.65</v>
      </c>
    </row>
    <row r="101" spans="1:95" ht="15.75" x14ac:dyDescent="0.25">
      <c r="A101" s="31" t="s">
        <v>141</v>
      </c>
      <c r="B101" s="20">
        <v>0.20569999999999999</v>
      </c>
      <c r="C101" s="20">
        <v>0</v>
      </c>
      <c r="D101" s="20">
        <v>0</v>
      </c>
      <c r="E101" s="20">
        <v>0.12559999999999999</v>
      </c>
      <c r="F101" s="20">
        <v>0</v>
      </c>
      <c r="G101" s="20">
        <v>0</v>
      </c>
      <c r="H101" s="20">
        <v>0.91610000000000003</v>
      </c>
      <c r="I101" s="20">
        <v>0</v>
      </c>
      <c r="J101" s="20">
        <v>0</v>
      </c>
      <c r="K101" s="20">
        <v>1.7476</v>
      </c>
      <c r="L101" s="20">
        <v>0</v>
      </c>
      <c r="M101" s="20">
        <v>0</v>
      </c>
      <c r="N101" s="20">
        <v>0.87990000000000002</v>
      </c>
      <c r="O101" s="20">
        <v>1E-4</v>
      </c>
      <c r="P101" s="20">
        <v>1.1364927832708262E-2</v>
      </c>
      <c r="Q101" s="20">
        <v>0.78510000000000002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1.5344</v>
      </c>
      <c r="X101" s="20">
        <v>0</v>
      </c>
      <c r="Y101" s="20">
        <v>0</v>
      </c>
      <c r="Z101" s="20">
        <v>0.11360000000000001</v>
      </c>
      <c r="AA101" s="20">
        <v>0</v>
      </c>
      <c r="AB101" s="20">
        <v>0</v>
      </c>
      <c r="AC101" s="20">
        <v>5.0000000000000001E-4</v>
      </c>
      <c r="AD101" s="20">
        <v>0</v>
      </c>
      <c r="AE101" s="20">
        <v>0</v>
      </c>
      <c r="AF101" s="20">
        <v>0.15060000000000001</v>
      </c>
      <c r="AG101" s="20">
        <v>0</v>
      </c>
      <c r="AH101" s="20">
        <v>0</v>
      </c>
      <c r="AI101" s="20">
        <v>0.15</v>
      </c>
      <c r="AJ101" s="20">
        <v>0</v>
      </c>
      <c r="AK101" s="20">
        <v>0</v>
      </c>
      <c r="AL101" s="20">
        <v>1E-3</v>
      </c>
      <c r="AM101" s="20">
        <v>0</v>
      </c>
      <c r="AN101" s="20">
        <v>0</v>
      </c>
      <c r="AO101" s="20">
        <v>1E-3</v>
      </c>
      <c r="AP101" s="20">
        <v>0</v>
      </c>
      <c r="AQ101" s="20">
        <v>0</v>
      </c>
      <c r="AR101" s="20">
        <v>0.51970000000000005</v>
      </c>
      <c r="AS101" s="20">
        <v>0</v>
      </c>
      <c r="AT101" s="20">
        <v>0</v>
      </c>
      <c r="AU101" s="20">
        <v>-0.1244</v>
      </c>
      <c r="AV101" s="20">
        <v>0</v>
      </c>
      <c r="AW101" s="20">
        <v>0</v>
      </c>
      <c r="AX101" s="20">
        <v>0.30109999999999998</v>
      </c>
      <c r="AY101" s="20">
        <v>0</v>
      </c>
      <c r="AZ101" s="20">
        <v>0</v>
      </c>
      <c r="BA101" s="20">
        <v>0.23649999999999999</v>
      </c>
      <c r="BB101" s="20">
        <v>0</v>
      </c>
      <c r="BC101" s="20">
        <v>0</v>
      </c>
      <c r="BD101" s="20">
        <v>0.20569999999999999</v>
      </c>
      <c r="BE101" s="20">
        <v>0</v>
      </c>
      <c r="BF101" s="20">
        <v>0</v>
      </c>
      <c r="BG101" s="20">
        <v>0.5</v>
      </c>
      <c r="BH101" s="20">
        <v>0</v>
      </c>
      <c r="BI101" s="20">
        <v>0</v>
      </c>
      <c r="BJ101" s="20">
        <v>0.12559999999999999</v>
      </c>
      <c r="BK101" s="20">
        <v>0</v>
      </c>
      <c r="BL101" s="20">
        <v>0</v>
      </c>
      <c r="BM101" s="20">
        <v>0.1079</v>
      </c>
      <c r="BN101" s="20">
        <v>0</v>
      </c>
      <c r="BO101" s="20">
        <v>0</v>
      </c>
      <c r="BP101" s="20">
        <v>0</v>
      </c>
      <c r="BQ101" s="20">
        <v>0</v>
      </c>
      <c r="BR101" s="59">
        <v>0</v>
      </c>
      <c r="BS101" s="59">
        <v>0</v>
      </c>
      <c r="BT101" s="59">
        <v>0</v>
      </c>
      <c r="BU101" s="21">
        <v>0</v>
      </c>
      <c r="BV101" s="59">
        <v>0</v>
      </c>
      <c r="BW101" s="97">
        <v>0</v>
      </c>
      <c r="BX101" s="21">
        <v>0</v>
      </c>
      <c r="BY101" s="118">
        <v>0</v>
      </c>
      <c r="BZ101" s="21">
        <v>0</v>
      </c>
      <c r="CA101" s="20">
        <v>0</v>
      </c>
      <c r="CB101" s="20">
        <v>0</v>
      </c>
      <c r="CC101" s="20">
        <v>0</v>
      </c>
      <c r="CD101" s="20">
        <v>0</v>
      </c>
      <c r="CE101" s="89">
        <v>0</v>
      </c>
      <c r="CF101" s="20">
        <v>0</v>
      </c>
      <c r="CG101" s="20">
        <v>0</v>
      </c>
      <c r="CH101" s="20">
        <v>0</v>
      </c>
      <c r="CI101" s="21">
        <v>0</v>
      </c>
      <c r="CJ101" s="21">
        <v>0</v>
      </c>
      <c r="CK101" s="21">
        <v>0</v>
      </c>
      <c r="CL101" s="21">
        <v>0</v>
      </c>
      <c r="CM101" s="21">
        <v>0</v>
      </c>
      <c r="CN101" s="21">
        <v>0</v>
      </c>
      <c r="CO101" s="21">
        <v>0</v>
      </c>
      <c r="CP101" s="21">
        <v>0</v>
      </c>
      <c r="CQ101" s="21">
        <v>0</v>
      </c>
    </row>
    <row r="102" spans="1:95" ht="15.75" x14ac:dyDescent="0.25">
      <c r="A102" s="16" t="s">
        <v>142</v>
      </c>
      <c r="B102" s="12">
        <v>15.6145</v>
      </c>
      <c r="C102" s="12">
        <v>0.05</v>
      </c>
      <c r="D102" s="12">
        <v>0.32021518460405396</v>
      </c>
      <c r="E102" s="12">
        <v>17.0684</v>
      </c>
      <c r="F102" s="12">
        <v>9.3399999999999997E-2</v>
      </c>
      <c r="G102" s="12">
        <v>0.54721004897940051</v>
      </c>
      <c r="H102" s="12">
        <v>13.1242</v>
      </c>
      <c r="I102" s="12">
        <v>8.4699999999999998E-2</v>
      </c>
      <c r="J102" s="12">
        <v>0.64537267033419177</v>
      </c>
      <c r="K102" s="12">
        <v>13.242000000000001</v>
      </c>
      <c r="L102" s="12">
        <v>0.19470000000000001</v>
      </c>
      <c r="M102" s="12">
        <v>1.4703217036701406</v>
      </c>
      <c r="N102" s="12">
        <v>18.565100000000001</v>
      </c>
      <c r="O102" s="12">
        <v>1.2521</v>
      </c>
      <c r="P102" s="12">
        <v>6.7443751986253773</v>
      </c>
      <c r="Q102" s="12">
        <v>13.9079</v>
      </c>
      <c r="R102" s="12">
        <v>1.2396</v>
      </c>
      <c r="S102" s="12">
        <v>8.912919995110693</v>
      </c>
      <c r="T102" s="12">
        <v>24.451599999999999</v>
      </c>
      <c r="U102" s="12">
        <v>2.3151000000000002</v>
      </c>
      <c r="V102" s="12">
        <v>9.4680920675947586</v>
      </c>
      <c r="W102" s="12">
        <v>38</v>
      </c>
      <c r="X102" s="12">
        <v>3.4479000000000002</v>
      </c>
      <c r="Y102" s="12">
        <v>9.0734210526315788</v>
      </c>
      <c r="Z102" s="12">
        <v>25.294599999999999</v>
      </c>
      <c r="AA102" s="12">
        <v>2.7290000000000001</v>
      </c>
      <c r="AB102" s="12">
        <v>10.788864026313917</v>
      </c>
      <c r="AC102" s="12">
        <v>36.328499999999998</v>
      </c>
      <c r="AD102" s="12">
        <v>3.6103000000000001</v>
      </c>
      <c r="AE102" s="12">
        <v>9.9379275224685859</v>
      </c>
      <c r="AF102" s="12">
        <v>64.343199999999996</v>
      </c>
      <c r="AG102" s="12">
        <v>16.5078</v>
      </c>
      <c r="AH102" s="12">
        <v>25.655857961680489</v>
      </c>
      <c r="AI102" s="12">
        <v>59.213799999999999</v>
      </c>
      <c r="AJ102" s="12">
        <v>15.9603</v>
      </c>
      <c r="AK102" s="12">
        <v>26.953683094143592</v>
      </c>
      <c r="AL102" s="12">
        <v>58.859699999999997</v>
      </c>
      <c r="AM102" s="12">
        <v>8.8760999999999992</v>
      </c>
      <c r="AN102" s="12">
        <v>15.08009724820208</v>
      </c>
      <c r="AO102" s="12">
        <v>36.917099999999998</v>
      </c>
      <c r="AP102" s="12">
        <v>3.8792</v>
      </c>
      <c r="AQ102" s="12">
        <v>10.507867627738907</v>
      </c>
      <c r="AR102" s="12">
        <v>33.723300000000002</v>
      </c>
      <c r="AS102" s="12">
        <v>3.6442000000000001</v>
      </c>
      <c r="AT102" s="12">
        <v>10.806178517523492</v>
      </c>
      <c r="AU102" s="12">
        <v>32.392200000000003</v>
      </c>
      <c r="AV102" s="12">
        <v>3.2551000000000001</v>
      </c>
      <c r="AW102" s="12">
        <v>10.049024147788664</v>
      </c>
      <c r="AX102" s="12">
        <v>24.535900000000002</v>
      </c>
      <c r="AY102" s="12">
        <v>3.2482000000000002</v>
      </c>
      <c r="AZ102" s="12">
        <v>13.238560639715683</v>
      </c>
      <c r="BA102" s="12">
        <v>19.0946</v>
      </c>
      <c r="BB102" s="12">
        <v>2.5880000000000001</v>
      </c>
      <c r="BC102" s="12">
        <v>13.553570119300746</v>
      </c>
      <c r="BD102" s="12">
        <v>18.526</v>
      </c>
      <c r="BE102" s="12">
        <v>2.2528999999999999</v>
      </c>
      <c r="BF102" s="12">
        <v>12.160747058188491</v>
      </c>
      <c r="BG102" s="12">
        <v>36.228900000000003</v>
      </c>
      <c r="BH102" s="12">
        <v>5.0107999999999997</v>
      </c>
      <c r="BI102" s="12">
        <v>13.830947116804538</v>
      </c>
      <c r="BJ102" s="12">
        <v>34.238599999999998</v>
      </c>
      <c r="BK102" s="12">
        <v>2.9045999999999998</v>
      </c>
      <c r="BL102" s="12">
        <v>8.4834076159656053</v>
      </c>
      <c r="BM102" s="12">
        <v>35.315399999999997</v>
      </c>
      <c r="BN102" s="12">
        <v>3.1623000000000001</v>
      </c>
      <c r="BO102" s="51">
        <v>8.9544504663687814</v>
      </c>
      <c r="BP102" s="12">
        <v>1.9865999999999999</v>
      </c>
      <c r="BQ102" s="12">
        <v>1.946</v>
      </c>
      <c r="BR102" s="57">
        <v>1.792</v>
      </c>
      <c r="BS102" s="57">
        <v>22.223299999999998</v>
      </c>
      <c r="BT102" s="57">
        <v>1.5303</v>
      </c>
      <c r="BU102" s="12">
        <v>1.1837</v>
      </c>
      <c r="BV102" s="57">
        <v>2.1032999999999999</v>
      </c>
      <c r="BW102" s="81">
        <v>4.0523999999999996</v>
      </c>
      <c r="BX102" s="13">
        <v>3.5388999999999999</v>
      </c>
      <c r="BY102" s="119">
        <v>4.13</v>
      </c>
      <c r="BZ102" s="13">
        <v>2.6749999999999998</v>
      </c>
      <c r="CA102" s="13">
        <v>1.6151</v>
      </c>
      <c r="CB102" s="13">
        <v>22.944099999999999</v>
      </c>
      <c r="CC102" s="12">
        <v>22.9145</v>
      </c>
      <c r="CD102" s="12">
        <v>18.383700000000001</v>
      </c>
      <c r="CE102" s="81">
        <v>26.799700000000001</v>
      </c>
      <c r="CF102" s="12">
        <v>38.912199999999999</v>
      </c>
      <c r="CG102" s="12">
        <v>30.171399999999998</v>
      </c>
      <c r="CH102" s="12">
        <v>83.275400000000005</v>
      </c>
      <c r="CI102" s="13">
        <v>75.181200000000004</v>
      </c>
      <c r="CJ102" s="13">
        <v>72.648399999999995</v>
      </c>
      <c r="CK102" s="13">
        <v>97.0458</v>
      </c>
      <c r="CL102" s="13">
        <v>96.995800000000003</v>
      </c>
      <c r="CM102" s="13">
        <v>92.528000000000006</v>
      </c>
      <c r="CN102" s="13">
        <f>74.188</f>
        <v>74.188000000000002</v>
      </c>
      <c r="CO102" s="13">
        <v>155.7354</v>
      </c>
      <c r="CP102" s="13">
        <v>109.03100000000001</v>
      </c>
      <c r="CQ102" s="13">
        <v>197.37639999999999</v>
      </c>
    </row>
    <row r="103" spans="1:95" ht="15.75" x14ac:dyDescent="0.25">
      <c r="A103" s="16" t="s">
        <v>143</v>
      </c>
      <c r="B103" s="12">
        <v>0</v>
      </c>
      <c r="C103" s="12">
        <v>0</v>
      </c>
      <c r="D103" s="12">
        <v>0</v>
      </c>
      <c r="E103" s="12">
        <v>1.2813000000000001</v>
      </c>
      <c r="F103" s="12">
        <v>0</v>
      </c>
      <c r="G103" s="12">
        <v>0</v>
      </c>
      <c r="H103" s="12">
        <v>0.91020000000000001</v>
      </c>
      <c r="I103" s="12">
        <v>0</v>
      </c>
      <c r="J103" s="12">
        <v>0</v>
      </c>
      <c r="K103" s="12">
        <v>1.9409000000000001</v>
      </c>
      <c r="L103" s="12">
        <v>0</v>
      </c>
      <c r="M103" s="12">
        <v>0</v>
      </c>
      <c r="N103" s="12">
        <v>16.999600000000001</v>
      </c>
      <c r="O103" s="12">
        <v>0</v>
      </c>
      <c r="P103" s="12">
        <v>0</v>
      </c>
      <c r="Q103" s="12">
        <v>16.632999999999999</v>
      </c>
      <c r="R103" s="12">
        <v>0</v>
      </c>
      <c r="S103" s="12">
        <v>0</v>
      </c>
      <c r="T103" s="12">
        <v>0.66439999999999999</v>
      </c>
      <c r="U103" s="12">
        <v>0</v>
      </c>
      <c r="V103" s="12">
        <v>0</v>
      </c>
      <c r="W103" s="12">
        <v>0.66439999999999999</v>
      </c>
      <c r="X103" s="12">
        <v>0</v>
      </c>
      <c r="Y103" s="12">
        <v>0</v>
      </c>
      <c r="Z103" s="12">
        <v>0.72089999999999999</v>
      </c>
      <c r="AA103" s="12">
        <v>0</v>
      </c>
      <c r="AB103" s="12">
        <v>0</v>
      </c>
      <c r="AC103" s="12">
        <v>0.80049999999999999</v>
      </c>
      <c r="AD103" s="12">
        <v>0</v>
      </c>
      <c r="AE103" s="12">
        <v>0</v>
      </c>
      <c r="AF103" s="12">
        <v>24.459800000000001</v>
      </c>
      <c r="AG103" s="12">
        <v>0</v>
      </c>
      <c r="AH103" s="12">
        <v>0</v>
      </c>
      <c r="AI103" s="12">
        <v>24.2394</v>
      </c>
      <c r="AJ103" s="12">
        <v>0</v>
      </c>
      <c r="AK103" s="12">
        <v>0</v>
      </c>
      <c r="AL103" s="12">
        <v>2.4081999999999999</v>
      </c>
      <c r="AM103" s="12">
        <v>0</v>
      </c>
      <c r="AN103" s="12">
        <v>0</v>
      </c>
      <c r="AO103" s="12">
        <v>2.4081999999999999</v>
      </c>
      <c r="AP103" s="12">
        <v>0</v>
      </c>
      <c r="AQ103" s="12">
        <v>0</v>
      </c>
      <c r="AR103" s="12">
        <v>1</v>
      </c>
      <c r="AS103" s="12">
        <v>0</v>
      </c>
      <c r="AT103" s="12">
        <v>0</v>
      </c>
      <c r="AU103" s="12">
        <v>7.4300000000000005E-2</v>
      </c>
      <c r="AV103" s="12">
        <v>0</v>
      </c>
      <c r="AW103" s="12">
        <v>0</v>
      </c>
      <c r="AX103" s="12">
        <v>37.400199999999998</v>
      </c>
      <c r="AY103" s="12">
        <v>0</v>
      </c>
      <c r="AZ103" s="12">
        <v>0</v>
      </c>
      <c r="BA103" s="12">
        <v>37.400100000000002</v>
      </c>
      <c r="BB103" s="12">
        <v>0</v>
      </c>
      <c r="BC103" s="12">
        <v>0</v>
      </c>
      <c r="BD103" s="12">
        <v>1.8047</v>
      </c>
      <c r="BE103" s="12">
        <v>0</v>
      </c>
      <c r="BF103" s="12">
        <v>0</v>
      </c>
      <c r="BG103" s="12">
        <v>2.4003000000000001</v>
      </c>
      <c r="BH103" s="12">
        <v>0</v>
      </c>
      <c r="BI103" s="12">
        <v>0</v>
      </c>
      <c r="BJ103" s="12">
        <v>2.4001000000000001</v>
      </c>
      <c r="BK103" s="12">
        <v>0</v>
      </c>
      <c r="BL103" s="12">
        <v>0</v>
      </c>
      <c r="BM103" s="12">
        <v>1.9194</v>
      </c>
      <c r="BN103" s="12">
        <v>0</v>
      </c>
      <c r="BO103" s="51">
        <v>0</v>
      </c>
      <c r="BP103" s="12">
        <v>0</v>
      </c>
      <c r="BQ103" s="12">
        <v>0</v>
      </c>
      <c r="BR103" s="12">
        <v>0</v>
      </c>
      <c r="BS103" s="12">
        <v>0</v>
      </c>
      <c r="BT103" s="12">
        <v>0</v>
      </c>
      <c r="BU103" s="13">
        <v>0</v>
      </c>
      <c r="BV103" s="12">
        <v>0</v>
      </c>
      <c r="BW103" s="98">
        <v>0</v>
      </c>
      <c r="BX103" s="13">
        <v>0</v>
      </c>
      <c r="BY103" s="119">
        <v>0</v>
      </c>
      <c r="BZ103" s="13">
        <v>0</v>
      </c>
      <c r="CA103" s="13">
        <v>0</v>
      </c>
      <c r="CB103" s="13">
        <v>0</v>
      </c>
      <c r="CC103" s="12">
        <v>0</v>
      </c>
      <c r="CD103" s="12">
        <v>0</v>
      </c>
      <c r="CE103" s="81">
        <v>1.1000000000000001</v>
      </c>
      <c r="CF103" s="12">
        <v>0.45</v>
      </c>
      <c r="CG103" s="12">
        <v>0.45</v>
      </c>
      <c r="CH103" s="12">
        <v>2.6002000000000001</v>
      </c>
      <c r="CI103" s="13">
        <v>0.3</v>
      </c>
      <c r="CJ103" s="13">
        <v>0</v>
      </c>
      <c r="CK103" s="13">
        <v>1.0803</v>
      </c>
      <c r="CL103" s="13">
        <v>1.0804</v>
      </c>
      <c r="CM103" s="13">
        <v>7.0000000000000007E-2</v>
      </c>
      <c r="CN103" s="13">
        <v>0</v>
      </c>
      <c r="CO103" s="13">
        <v>1.3801000000000001</v>
      </c>
      <c r="CP103" s="13">
        <v>0</v>
      </c>
      <c r="CQ103" s="13">
        <v>0.95</v>
      </c>
    </row>
    <row r="104" spans="1:95" ht="15.75" x14ac:dyDescent="0.25">
      <c r="A104" s="19" t="s">
        <v>144</v>
      </c>
      <c r="B104" s="20">
        <v>15.6145</v>
      </c>
      <c r="C104" s="20">
        <v>0.05</v>
      </c>
      <c r="D104" s="20">
        <v>0.32021518460405396</v>
      </c>
      <c r="E104" s="20">
        <v>18.349699999999999</v>
      </c>
      <c r="F104" s="20">
        <v>9.3399999999999997E-2</v>
      </c>
      <c r="G104" s="20">
        <v>0.50900014714137021</v>
      </c>
      <c r="H104" s="20">
        <v>14.0344</v>
      </c>
      <c r="I104" s="20">
        <v>8.4699999999999998E-2</v>
      </c>
      <c r="J104" s="20">
        <v>0.6035170723365445</v>
      </c>
      <c r="K104" s="20">
        <v>15.1829</v>
      </c>
      <c r="L104" s="20">
        <v>0.19470000000000001</v>
      </c>
      <c r="M104" s="20">
        <v>1.2823637118073623</v>
      </c>
      <c r="N104" s="20">
        <v>35.564700000000002</v>
      </c>
      <c r="O104" s="20">
        <v>1.2521</v>
      </c>
      <c r="P104" s="20">
        <v>3.5206257890548773</v>
      </c>
      <c r="Q104" s="20">
        <v>30.540900000000001</v>
      </c>
      <c r="R104" s="20">
        <v>1.2396</v>
      </c>
      <c r="S104" s="20">
        <v>4.0588194846910213</v>
      </c>
      <c r="T104" s="20">
        <v>25.116</v>
      </c>
      <c r="U104" s="20">
        <v>2.3151000000000002</v>
      </c>
      <c r="V104" s="20">
        <v>9.2176301958910667</v>
      </c>
      <c r="W104" s="20">
        <v>38.664400000000001</v>
      </c>
      <c r="X104" s="20">
        <v>3.4479000000000002</v>
      </c>
      <c r="Y104" s="20">
        <v>8.9175055089436288</v>
      </c>
      <c r="Z104" s="20">
        <v>26.015499999999999</v>
      </c>
      <c r="AA104" s="20">
        <v>2.7290000000000001</v>
      </c>
      <c r="AB104" s="20">
        <v>10.489900251772982</v>
      </c>
      <c r="AC104" s="20">
        <v>37.128999999999998</v>
      </c>
      <c r="AD104" s="20">
        <v>3.6103000000000001</v>
      </c>
      <c r="AE104" s="20">
        <v>9.7236661369818744</v>
      </c>
      <c r="AF104" s="20">
        <v>88.802999999999997</v>
      </c>
      <c r="AG104" s="20">
        <v>16.5078</v>
      </c>
      <c r="AH104" s="20">
        <v>18.589236850106417</v>
      </c>
      <c r="AI104" s="20">
        <v>83.453199999999995</v>
      </c>
      <c r="AJ104" s="20">
        <v>15.9603</v>
      </c>
      <c r="AK104" s="20">
        <v>19.124850814588299</v>
      </c>
      <c r="AL104" s="20">
        <v>61.267899999999997</v>
      </c>
      <c r="AM104" s="20">
        <v>8.8760999999999992</v>
      </c>
      <c r="AN104" s="20">
        <v>14.487357980280047</v>
      </c>
      <c r="AO104" s="20">
        <v>39.325299999999999</v>
      </c>
      <c r="AP104" s="20">
        <v>3.8792</v>
      </c>
      <c r="AQ104" s="20">
        <v>9.8643875571197164</v>
      </c>
      <c r="AR104" s="20">
        <v>34.723300000000002</v>
      </c>
      <c r="AS104" s="20">
        <v>3.6442000000000001</v>
      </c>
      <c r="AT104" s="20">
        <v>10.494970236123871</v>
      </c>
      <c r="AU104" s="20">
        <v>32.466500000000003</v>
      </c>
      <c r="AV104" s="20">
        <v>3.2551000000000001</v>
      </c>
      <c r="AW104" s="20">
        <v>10.026026827653119</v>
      </c>
      <c r="AX104" s="20">
        <v>61.936099999999996</v>
      </c>
      <c r="AY104" s="20">
        <v>3.2482000000000002</v>
      </c>
      <c r="AZ104" s="20">
        <v>5.2444374121069952</v>
      </c>
      <c r="BA104" s="20">
        <v>56.494700000000002</v>
      </c>
      <c r="BB104" s="20">
        <v>2.5880000000000001</v>
      </c>
      <c r="BC104" s="20">
        <v>4.5809606918879116</v>
      </c>
      <c r="BD104" s="20">
        <v>20.3307</v>
      </c>
      <c r="BE104" s="20">
        <v>2.2528999999999999</v>
      </c>
      <c r="BF104" s="20">
        <v>11.081271181021805</v>
      </c>
      <c r="BG104" s="20">
        <v>38.629200000000004</v>
      </c>
      <c r="BH104" s="20">
        <v>5.0107999999999997</v>
      </c>
      <c r="BI104" s="20">
        <v>12.971534486864854</v>
      </c>
      <c r="BJ104" s="20">
        <v>36.6387</v>
      </c>
      <c r="BK104" s="20">
        <v>2.9045999999999998</v>
      </c>
      <c r="BL104" s="20">
        <v>7.9276830236880675</v>
      </c>
      <c r="BM104" s="20">
        <v>37.2348</v>
      </c>
      <c r="BN104" s="20">
        <v>3.1623000000000001</v>
      </c>
      <c r="BO104" s="20">
        <v>8.4928615166457195</v>
      </c>
      <c r="BP104" s="20">
        <v>1.9865999999999999</v>
      </c>
      <c r="BQ104" s="20">
        <v>1.946</v>
      </c>
      <c r="BR104" s="20">
        <v>1.792</v>
      </c>
      <c r="BS104" s="20">
        <v>22.223299999999998</v>
      </c>
      <c r="BT104" s="20">
        <v>1.5303</v>
      </c>
      <c r="BU104" s="20">
        <v>1.1837</v>
      </c>
      <c r="BV104" s="20">
        <v>2.1032999999999999</v>
      </c>
      <c r="BW104" s="89">
        <v>4.0523999999999996</v>
      </c>
      <c r="BX104" s="89">
        <v>3.5388999999999999</v>
      </c>
      <c r="BY104" s="89">
        <v>4.13</v>
      </c>
      <c r="BZ104" s="89">
        <v>2.6749999999999998</v>
      </c>
      <c r="CA104" s="89">
        <v>1.6151</v>
      </c>
      <c r="CB104" s="89">
        <v>22.944099999999999</v>
      </c>
      <c r="CC104" s="89">
        <v>22.9145</v>
      </c>
      <c r="CD104" s="89">
        <v>18.383700000000001</v>
      </c>
      <c r="CE104" s="89">
        <v>27.899700000000003</v>
      </c>
      <c r="CF104" s="20">
        <v>39.362200000000001</v>
      </c>
      <c r="CG104" s="20">
        <v>30.621399999999998</v>
      </c>
      <c r="CH104" s="20">
        <v>85.875600000000006</v>
      </c>
      <c r="CI104" s="20">
        <v>75.481200000000001</v>
      </c>
      <c r="CJ104" s="20">
        <f>SUM(CJ102:CJ103)</f>
        <v>72.648399999999995</v>
      </c>
      <c r="CK104" s="20">
        <v>98.126099999999994</v>
      </c>
      <c r="CL104" s="20">
        <v>98.0762</v>
      </c>
      <c r="CM104" s="21">
        <f>SUM(CM102:CM103)</f>
        <v>92.597999999999999</v>
      </c>
      <c r="CN104" s="21">
        <f>SUM(CN102:CN103)</f>
        <v>74.188000000000002</v>
      </c>
      <c r="CO104" s="21">
        <f>SUM(CO102:CO103)</f>
        <v>157.1155</v>
      </c>
      <c r="CP104" s="21">
        <f>SUM(CP102:CP103)</f>
        <v>109.03100000000001</v>
      </c>
      <c r="CQ104" s="21">
        <f>SUM(CQ102:CQ103)</f>
        <v>198.32639999999998</v>
      </c>
    </row>
    <row r="105" spans="1:95" ht="15.75" x14ac:dyDescent="0.25">
      <c r="A105" s="31" t="s">
        <v>145</v>
      </c>
      <c r="B105" s="20">
        <v>16.058</v>
      </c>
      <c r="C105" s="20">
        <v>0</v>
      </c>
      <c r="D105" s="20">
        <v>0</v>
      </c>
      <c r="E105" s="20">
        <v>6.5635000000000003</v>
      </c>
      <c r="F105" s="20">
        <v>8.3599999999999994E-2</v>
      </c>
      <c r="G105" s="20">
        <v>1.2737106726594041</v>
      </c>
      <c r="H105" s="20">
        <v>8.7196999999999996</v>
      </c>
      <c r="I105" s="20">
        <v>8.7800000000000003E-2</v>
      </c>
      <c r="J105" s="20">
        <v>1.0069153755289746</v>
      </c>
      <c r="K105" s="20">
        <v>18.7561</v>
      </c>
      <c r="L105" s="20">
        <v>9.0700000000000003E-2</v>
      </c>
      <c r="M105" s="20">
        <v>0.48357600993810013</v>
      </c>
      <c r="N105" s="20">
        <v>38.910400000000003</v>
      </c>
      <c r="O105" s="20">
        <v>5.2507999999999999</v>
      </c>
      <c r="P105" s="20">
        <v>13.494592705292158</v>
      </c>
      <c r="Q105" s="20">
        <v>38.438699999999997</v>
      </c>
      <c r="R105" s="20">
        <v>5.2473000000000001</v>
      </c>
      <c r="S105" s="20">
        <v>13.651086014875634</v>
      </c>
      <c r="T105" s="20">
        <v>25.992100000000001</v>
      </c>
      <c r="U105" s="20">
        <v>3.3849999999999998</v>
      </c>
      <c r="V105" s="20">
        <v>13.023187814759099</v>
      </c>
      <c r="W105" s="20">
        <v>24.1296</v>
      </c>
      <c r="X105" s="20">
        <v>3.1865000000000001</v>
      </c>
      <c r="Y105" s="20">
        <v>13.205772163649627</v>
      </c>
      <c r="Z105" s="20">
        <v>23.5672</v>
      </c>
      <c r="AA105" s="20">
        <v>3.1278000000000001</v>
      </c>
      <c r="AB105" s="20">
        <v>13.271835432295735</v>
      </c>
      <c r="AC105" s="20">
        <v>25.271899999999999</v>
      </c>
      <c r="AD105" s="20">
        <v>3.3908999999999998</v>
      </c>
      <c r="AE105" s="20">
        <v>13.417669427308592</v>
      </c>
      <c r="AF105" s="20">
        <v>33.465299999999999</v>
      </c>
      <c r="AG105" s="20">
        <v>2.4746000000000001</v>
      </c>
      <c r="AH105" s="20">
        <v>7.3945250752271763</v>
      </c>
      <c r="AI105" s="20">
        <v>33.320500000000003</v>
      </c>
      <c r="AJ105" s="20">
        <v>2.4636</v>
      </c>
      <c r="AK105" s="20">
        <v>7.3936465539232596</v>
      </c>
      <c r="AL105" s="20">
        <v>41.741100000000003</v>
      </c>
      <c r="AM105" s="20">
        <v>1.87</v>
      </c>
      <c r="AN105" s="20">
        <v>4.4799969334780343</v>
      </c>
      <c r="AO105" s="20">
        <v>42.950499999999998</v>
      </c>
      <c r="AP105" s="20">
        <v>1.8758999999999999</v>
      </c>
      <c r="AQ105" s="20">
        <v>4.3675859419564382</v>
      </c>
      <c r="AR105" s="20">
        <v>42.674500000000002</v>
      </c>
      <c r="AS105" s="20">
        <v>1.7576000000000001</v>
      </c>
      <c r="AT105" s="20">
        <v>4.1186188473209997</v>
      </c>
      <c r="AU105" s="20">
        <v>42.1098</v>
      </c>
      <c r="AV105" s="20">
        <v>1.56</v>
      </c>
      <c r="AW105" s="20">
        <v>3.7046008292606474</v>
      </c>
      <c r="AX105" s="20">
        <v>29.756399999999999</v>
      </c>
      <c r="AY105" s="20">
        <v>1.5895999999999999</v>
      </c>
      <c r="AZ105" s="20">
        <v>5.3420440644701639</v>
      </c>
      <c r="BA105" s="20">
        <v>27.188500000000001</v>
      </c>
      <c r="BB105" s="20">
        <v>1.4327000000000001</v>
      </c>
      <c r="BC105" s="20">
        <v>5.2695073284660801</v>
      </c>
      <c r="BD105" s="20">
        <v>40.570999999999998</v>
      </c>
      <c r="BE105" s="20">
        <v>1.4029</v>
      </c>
      <c r="BF105" s="20">
        <v>3.4578886396687292</v>
      </c>
      <c r="BG105" s="20">
        <v>59.073799999999999</v>
      </c>
      <c r="BH105" s="20">
        <v>1.0678000000000001</v>
      </c>
      <c r="BI105" s="20">
        <v>1.8075695147425765</v>
      </c>
      <c r="BJ105" s="20">
        <v>43.506599999999999</v>
      </c>
      <c r="BK105" s="20">
        <v>0.3175</v>
      </c>
      <c r="BL105" s="20">
        <v>0.7297743330896922</v>
      </c>
      <c r="BM105" s="20">
        <v>14.5556</v>
      </c>
      <c r="BN105" s="20">
        <v>0.30990000000000001</v>
      </c>
      <c r="BO105" s="20">
        <v>2.129077468465745</v>
      </c>
      <c r="BP105" s="20">
        <v>7.6032999999999999</v>
      </c>
      <c r="BQ105" s="20">
        <v>3.7694999999999999</v>
      </c>
      <c r="BR105" s="59">
        <v>3.7645</v>
      </c>
      <c r="BS105" s="59">
        <v>4.0906000000000002</v>
      </c>
      <c r="BT105" s="59">
        <v>3.8105000000000002</v>
      </c>
      <c r="BU105" s="20">
        <v>3.8043</v>
      </c>
      <c r="BV105" s="59">
        <v>1.2477</v>
      </c>
      <c r="BW105" s="89">
        <v>1.2475000000000001</v>
      </c>
      <c r="BX105" s="21">
        <v>1.0837000000000001</v>
      </c>
      <c r="BY105" s="111">
        <v>5.4950000000000001</v>
      </c>
      <c r="BZ105" s="21">
        <v>2.7782</v>
      </c>
      <c r="CA105" s="21">
        <v>2.7694000000000001</v>
      </c>
      <c r="CB105" s="21">
        <v>59.392499999999998</v>
      </c>
      <c r="CC105" s="20">
        <v>11.237500000000001</v>
      </c>
      <c r="CD105" s="20">
        <v>11.237399999999999</v>
      </c>
      <c r="CE105" s="89">
        <v>3.3424999999999998</v>
      </c>
      <c r="CF105" s="20">
        <v>3.3464999999999998</v>
      </c>
      <c r="CG105" s="20">
        <v>2.0194999999999999</v>
      </c>
      <c r="CH105" s="20">
        <v>0.35759999999999997</v>
      </c>
      <c r="CI105" s="21">
        <v>3.9662999999999999</v>
      </c>
      <c r="CJ105" s="21">
        <v>0.41610000000000003</v>
      </c>
      <c r="CK105" s="21">
        <v>5.1775000000000002</v>
      </c>
      <c r="CL105" s="21">
        <v>2.7374999999999998</v>
      </c>
      <c r="CM105" s="21">
        <v>1.6755</v>
      </c>
      <c r="CN105" s="21">
        <v>0.34210000000000002</v>
      </c>
      <c r="CO105" s="21">
        <v>10.4116</v>
      </c>
      <c r="CP105" s="21">
        <v>8.9474999999999998</v>
      </c>
      <c r="CQ105" s="21">
        <v>9.2325999999999997</v>
      </c>
    </row>
    <row r="106" spans="1:95" ht="15.75" x14ac:dyDescent="0.25">
      <c r="A106" s="67" t="s">
        <v>146</v>
      </c>
      <c r="B106" s="64">
        <v>0.97270000000000001</v>
      </c>
      <c r="C106" s="64">
        <v>0</v>
      </c>
      <c r="D106" s="64">
        <v>0</v>
      </c>
      <c r="E106" s="64">
        <v>1.0478000000000001</v>
      </c>
      <c r="F106" s="64">
        <v>0</v>
      </c>
      <c r="G106" s="64">
        <v>0</v>
      </c>
      <c r="H106" s="64">
        <v>3.9350000000000001</v>
      </c>
      <c r="I106" s="64">
        <v>0</v>
      </c>
      <c r="J106" s="64">
        <v>0</v>
      </c>
      <c r="K106" s="64">
        <v>20.1447</v>
      </c>
      <c r="L106" s="64">
        <v>0</v>
      </c>
      <c r="M106" s="64">
        <v>0</v>
      </c>
      <c r="N106" s="64">
        <v>15.3576</v>
      </c>
      <c r="O106" s="64">
        <v>1.044</v>
      </c>
      <c r="P106" s="64">
        <v>6.7979371776840134</v>
      </c>
      <c r="Q106" s="64">
        <v>12.1249</v>
      </c>
      <c r="R106" s="64">
        <v>0.75239999999999996</v>
      </c>
      <c r="S106" s="64">
        <v>6.2054120033979654</v>
      </c>
      <c r="T106" s="64">
        <v>74.320599999999999</v>
      </c>
      <c r="U106" s="64">
        <v>10.416700000000001</v>
      </c>
      <c r="V106" s="64">
        <v>14.015898687577874</v>
      </c>
      <c r="W106" s="64">
        <v>39.234099999999998</v>
      </c>
      <c r="X106" s="64">
        <v>5.4272</v>
      </c>
      <c r="Y106" s="64">
        <v>13.832864778343328</v>
      </c>
      <c r="Z106" s="64">
        <v>34.116</v>
      </c>
      <c r="AA106" s="64">
        <v>4.8282999999999996</v>
      </c>
      <c r="AB106" s="64">
        <v>14.152597021925196</v>
      </c>
      <c r="AC106" s="64">
        <v>85.676100000000005</v>
      </c>
      <c r="AD106" s="64">
        <v>13.9885</v>
      </c>
      <c r="AE106" s="64">
        <v>16.327190430003231</v>
      </c>
      <c r="AF106" s="64">
        <v>83.9251</v>
      </c>
      <c r="AG106" s="64">
        <v>7.3032000000000004</v>
      </c>
      <c r="AH106" s="64">
        <v>8.702045037777733</v>
      </c>
      <c r="AI106" s="64">
        <v>66.027199999999993</v>
      </c>
      <c r="AJ106" s="64">
        <v>6.29047</v>
      </c>
      <c r="AK106" s="64">
        <v>9.5270888361160253</v>
      </c>
      <c r="AL106" s="64">
        <v>127.9528</v>
      </c>
      <c r="AM106" s="64">
        <v>20.940999999999999</v>
      </c>
      <c r="AN106" s="64">
        <v>16.366191283035619</v>
      </c>
      <c r="AO106" s="64">
        <v>1032.0884000000001</v>
      </c>
      <c r="AP106" s="64">
        <v>132.16800000000001</v>
      </c>
      <c r="AQ106" s="64">
        <v>12.805879806419682</v>
      </c>
      <c r="AR106" s="64">
        <v>808.75599999999997</v>
      </c>
      <c r="AS106" s="64">
        <v>135.17189999999999</v>
      </c>
      <c r="AT106" s="64">
        <v>16.713557611937347</v>
      </c>
      <c r="AU106" s="64">
        <v>462.89429999999999</v>
      </c>
      <c r="AV106" s="64">
        <v>56.217100000000002</v>
      </c>
      <c r="AW106" s="64">
        <v>12.144694803975769</v>
      </c>
      <c r="AX106" s="64">
        <v>343.62419999999997</v>
      </c>
      <c r="AY106" s="64">
        <v>63.691899999999997</v>
      </c>
      <c r="AZ106" s="64">
        <v>18.535335986231473</v>
      </c>
      <c r="BA106" s="64">
        <v>398.36540000000002</v>
      </c>
      <c r="BB106" s="64">
        <v>69.269099999999995</v>
      </c>
      <c r="BC106" s="64">
        <v>17.388332420436107</v>
      </c>
      <c r="BD106" s="64">
        <v>326.4794</v>
      </c>
      <c r="BE106" s="64">
        <v>58.289499999999997</v>
      </c>
      <c r="BF106" s="64">
        <v>17.853959545380196</v>
      </c>
      <c r="BG106" s="64">
        <v>573.58989999999994</v>
      </c>
      <c r="BH106" s="64">
        <v>103.87520000000001</v>
      </c>
      <c r="BI106" s="64">
        <v>18.109663367503508</v>
      </c>
      <c r="BJ106" s="64">
        <v>398.6234</v>
      </c>
      <c r="BK106" s="64">
        <v>80.142700000000005</v>
      </c>
      <c r="BL106" s="64">
        <v>20.104865895981021</v>
      </c>
      <c r="BM106" s="64">
        <v>374.77620000000002</v>
      </c>
      <c r="BN106" s="64">
        <v>75.290000000000006</v>
      </c>
      <c r="BO106" s="64">
        <v>20.089322641085534</v>
      </c>
      <c r="BP106" s="64">
        <v>66.467600000000004</v>
      </c>
      <c r="BQ106" s="64">
        <v>66.0274</v>
      </c>
      <c r="BR106" s="64">
        <v>63.242600000000003</v>
      </c>
      <c r="BS106" s="64">
        <v>102.91540000000001</v>
      </c>
      <c r="BT106" s="64">
        <v>342.2122</v>
      </c>
      <c r="BU106" s="33">
        <v>334.89</v>
      </c>
      <c r="BV106" s="64">
        <v>119.6849</v>
      </c>
      <c r="BW106" s="96">
        <v>127.6399</v>
      </c>
      <c r="BX106" s="33">
        <v>115.9019</v>
      </c>
      <c r="BY106" s="117">
        <v>127.16250000000001</v>
      </c>
      <c r="BZ106" s="33">
        <v>105.5972</v>
      </c>
      <c r="CA106" s="33">
        <v>98.092600000000004</v>
      </c>
      <c r="CB106" s="33">
        <v>103.9683</v>
      </c>
      <c r="CC106" s="64">
        <v>113.0316</v>
      </c>
      <c r="CD106" s="64">
        <v>103.0061</v>
      </c>
      <c r="CE106" s="96">
        <v>151.85000000000002</v>
      </c>
      <c r="CF106" s="64">
        <v>190.88399999999999</v>
      </c>
      <c r="CG106" s="64">
        <v>149.6687</v>
      </c>
      <c r="CH106" s="64">
        <v>1199.3461</v>
      </c>
      <c r="CI106" s="33">
        <v>654.97590000000002</v>
      </c>
      <c r="CJ106" s="33">
        <v>636.87360000000001</v>
      </c>
      <c r="CK106" s="33">
        <v>136.2363</v>
      </c>
      <c r="CL106" s="33">
        <v>145.8759</v>
      </c>
      <c r="CM106" s="33">
        <v>108.806</v>
      </c>
      <c r="CN106" s="33">
        <v>105.2097</v>
      </c>
      <c r="CO106" s="33">
        <v>183.93199999999999</v>
      </c>
      <c r="CP106" s="33">
        <v>133.6414</v>
      </c>
      <c r="CQ106" s="33">
        <v>179.23330000000001</v>
      </c>
    </row>
    <row r="107" spans="1:95" ht="15.75" x14ac:dyDescent="0.25">
      <c r="A107" s="62" t="s">
        <v>147</v>
      </c>
      <c r="B107" s="52">
        <v>0</v>
      </c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-2.86E-2</v>
      </c>
      <c r="L107" s="52">
        <v>0</v>
      </c>
      <c r="M107" s="52">
        <v>0</v>
      </c>
      <c r="N107" s="52">
        <v>0</v>
      </c>
      <c r="O107" s="52">
        <v>0</v>
      </c>
      <c r="P107" s="52">
        <v>0</v>
      </c>
      <c r="Q107" s="52">
        <v>0</v>
      </c>
      <c r="R107" s="52">
        <v>0</v>
      </c>
      <c r="S107" s="52">
        <v>0</v>
      </c>
      <c r="T107" s="52">
        <v>0</v>
      </c>
      <c r="U107" s="52">
        <v>0</v>
      </c>
      <c r="V107" s="52">
        <v>0</v>
      </c>
      <c r="W107" s="52">
        <v>0.105</v>
      </c>
      <c r="X107" s="52">
        <v>0</v>
      </c>
      <c r="Y107" s="52">
        <v>0</v>
      </c>
      <c r="Z107" s="52">
        <v>0</v>
      </c>
      <c r="AA107" s="52">
        <v>0</v>
      </c>
      <c r="AB107" s="52">
        <v>0</v>
      </c>
      <c r="AC107" s="52">
        <v>1.53</v>
      </c>
      <c r="AD107" s="52">
        <v>0</v>
      </c>
      <c r="AE107" s="52">
        <v>0</v>
      </c>
      <c r="AF107" s="52">
        <v>1.4851000000000001</v>
      </c>
      <c r="AG107" s="52">
        <v>0</v>
      </c>
      <c r="AH107" s="52">
        <v>0</v>
      </c>
      <c r="AI107" s="52">
        <v>1.4628000000000001</v>
      </c>
      <c r="AJ107" s="52">
        <v>0</v>
      </c>
      <c r="AK107" s="52">
        <v>0</v>
      </c>
      <c r="AL107" s="52">
        <v>1.4519</v>
      </c>
      <c r="AM107" s="52">
        <v>0</v>
      </c>
      <c r="AN107" s="52">
        <v>0</v>
      </c>
      <c r="AO107" s="52">
        <v>1.4519</v>
      </c>
      <c r="AP107" s="52">
        <v>0</v>
      </c>
      <c r="AQ107" s="52">
        <v>0</v>
      </c>
      <c r="AR107" s="52">
        <v>1.6881999999999999</v>
      </c>
      <c r="AS107" s="52">
        <v>0</v>
      </c>
      <c r="AT107" s="52">
        <v>0</v>
      </c>
      <c r="AU107" s="52">
        <v>1.6140000000000001</v>
      </c>
      <c r="AV107" s="52">
        <v>0</v>
      </c>
      <c r="AW107" s="52">
        <v>0</v>
      </c>
      <c r="AX107" s="52">
        <v>1.9818</v>
      </c>
      <c r="AY107" s="52">
        <v>0</v>
      </c>
      <c r="AZ107" s="52">
        <v>0</v>
      </c>
      <c r="BA107" s="52">
        <v>3.1878000000000002</v>
      </c>
      <c r="BB107" s="52">
        <v>0</v>
      </c>
      <c r="BC107" s="52">
        <v>0</v>
      </c>
      <c r="BD107" s="52">
        <v>3.1385999999999998</v>
      </c>
      <c r="BE107" s="52">
        <v>0</v>
      </c>
      <c r="BF107" s="52">
        <v>0</v>
      </c>
      <c r="BG107" s="52">
        <v>5.7165999999999997</v>
      </c>
      <c r="BH107" s="52">
        <v>0</v>
      </c>
      <c r="BI107" s="52">
        <v>0</v>
      </c>
      <c r="BJ107" s="52">
        <v>6.1113999999999997</v>
      </c>
      <c r="BK107" s="52">
        <v>0</v>
      </c>
      <c r="BL107" s="52">
        <v>0</v>
      </c>
      <c r="BM107" s="52">
        <v>6.0636000000000001</v>
      </c>
      <c r="BN107" s="66">
        <v>0</v>
      </c>
      <c r="BO107" s="66">
        <v>0</v>
      </c>
      <c r="BP107" s="66">
        <v>0</v>
      </c>
      <c r="BQ107" s="66">
        <v>0</v>
      </c>
      <c r="BR107" s="66">
        <v>0</v>
      </c>
      <c r="BS107" s="66">
        <v>0</v>
      </c>
      <c r="BT107" s="52">
        <v>0</v>
      </c>
      <c r="BU107" s="32">
        <v>0</v>
      </c>
      <c r="BV107" s="52">
        <v>0</v>
      </c>
      <c r="BW107" s="101">
        <v>0</v>
      </c>
      <c r="BX107" s="32">
        <v>0</v>
      </c>
      <c r="BY107" s="122">
        <v>0</v>
      </c>
      <c r="BZ107" s="32">
        <v>0</v>
      </c>
      <c r="CA107" s="32">
        <v>0</v>
      </c>
      <c r="CB107" s="32">
        <v>0</v>
      </c>
      <c r="CC107" s="52">
        <v>0</v>
      </c>
      <c r="CD107" s="52">
        <v>0</v>
      </c>
      <c r="CE107" s="95">
        <v>2.1399000000000004</v>
      </c>
      <c r="CF107" s="52">
        <v>2.9999999999999997E-4</v>
      </c>
      <c r="CG107" s="52">
        <v>0</v>
      </c>
      <c r="CH107" s="52">
        <v>3.9999999999999996E-4</v>
      </c>
      <c r="CI107" s="32">
        <v>9.2858999999999998</v>
      </c>
      <c r="CJ107" s="32">
        <v>0.43859999999999999</v>
      </c>
      <c r="CK107" s="32">
        <v>9.0001999999999995</v>
      </c>
      <c r="CL107" s="32">
        <v>9.4001000000000001</v>
      </c>
      <c r="CM107" s="32">
        <v>9.4270999999999994</v>
      </c>
      <c r="CN107" s="32">
        <v>0.4</v>
      </c>
      <c r="CO107" s="32">
        <v>9.3600999999999992</v>
      </c>
      <c r="CP107" s="32">
        <v>0.36009999999999998</v>
      </c>
      <c r="CQ107" s="32">
        <v>0.72019999999999995</v>
      </c>
    </row>
    <row r="108" spans="1:95" ht="15.75" x14ac:dyDescent="0.25">
      <c r="A108" s="62" t="s">
        <v>148</v>
      </c>
      <c r="B108" s="52">
        <v>491.40890000000002</v>
      </c>
      <c r="C108" s="52">
        <v>0</v>
      </c>
      <c r="D108" s="52">
        <v>0</v>
      </c>
      <c r="E108" s="52">
        <v>548.25779999999997</v>
      </c>
      <c r="F108" s="52">
        <v>0</v>
      </c>
      <c r="G108" s="52">
        <v>0</v>
      </c>
      <c r="H108" s="52">
        <v>522.91819999999996</v>
      </c>
      <c r="I108" s="52">
        <v>0</v>
      </c>
      <c r="J108" s="52">
        <v>0</v>
      </c>
      <c r="K108" s="52">
        <v>358.0111</v>
      </c>
      <c r="L108" s="52">
        <v>0</v>
      </c>
      <c r="M108" s="52">
        <v>0</v>
      </c>
      <c r="N108" s="52">
        <v>417.79500000000002</v>
      </c>
      <c r="O108" s="52">
        <v>76.278999999999996</v>
      </c>
      <c r="P108" s="52">
        <v>18.257518639524168</v>
      </c>
      <c r="Q108" s="52">
        <v>400.82580000000002</v>
      </c>
      <c r="R108" s="52">
        <v>78.927300000000002</v>
      </c>
      <c r="S108" s="52">
        <v>19.691172574220523</v>
      </c>
      <c r="T108" s="52">
        <v>560.15340000000003</v>
      </c>
      <c r="U108" s="52">
        <v>93.943799999999996</v>
      </c>
      <c r="V108" s="52">
        <v>16.77108449221231</v>
      </c>
      <c r="W108" s="52">
        <v>477.0856</v>
      </c>
      <c r="X108" s="52">
        <v>101.6914</v>
      </c>
      <c r="Y108" s="52">
        <v>21.315126677476748</v>
      </c>
      <c r="Z108" s="52">
        <v>470.8503</v>
      </c>
      <c r="AA108" s="52">
        <v>95.244200000000006</v>
      </c>
      <c r="AB108" s="52">
        <v>20.228127708530717</v>
      </c>
      <c r="AC108" s="52">
        <v>751.53819999999996</v>
      </c>
      <c r="AD108" s="52">
        <v>95.141099999999994</v>
      </c>
      <c r="AE108" s="52">
        <v>12.659516176290172</v>
      </c>
      <c r="AF108" s="52">
        <v>542.12959999999998</v>
      </c>
      <c r="AG108" s="52">
        <v>77.193399999999997</v>
      </c>
      <c r="AH108" s="52">
        <v>14.238919992562662</v>
      </c>
      <c r="AI108" s="52">
        <v>517.96619999999996</v>
      </c>
      <c r="AJ108" s="52">
        <v>74.481400000000008</v>
      </c>
      <c r="AK108" s="52">
        <v>14.379586930575783</v>
      </c>
      <c r="AL108" s="52">
        <v>930.9085</v>
      </c>
      <c r="AM108" s="52">
        <v>138.36359999999999</v>
      </c>
      <c r="AN108" s="52">
        <v>14.863286778453521</v>
      </c>
      <c r="AO108" s="52">
        <v>866.91060000000004</v>
      </c>
      <c r="AP108" s="52">
        <v>122.1481</v>
      </c>
      <c r="AQ108" s="52">
        <v>14.090045732512671</v>
      </c>
      <c r="AR108" s="52">
        <v>733.76969999999994</v>
      </c>
      <c r="AS108" s="52">
        <v>96.630300000000005</v>
      </c>
      <c r="AT108" s="52">
        <v>13.169022923677554</v>
      </c>
      <c r="AU108" s="52">
        <v>662.50099999999998</v>
      </c>
      <c r="AV108" s="52">
        <v>75.291499999999999</v>
      </c>
      <c r="AW108" s="52">
        <v>11.364737562660283</v>
      </c>
      <c r="AX108" s="52">
        <v>774.40509999999995</v>
      </c>
      <c r="AY108" s="52">
        <v>103.21420000000002</v>
      </c>
      <c r="AZ108" s="52">
        <v>13.328192182618636</v>
      </c>
      <c r="BA108" s="52">
        <v>527.80939999999998</v>
      </c>
      <c r="BB108" s="52">
        <v>77.048000000000002</v>
      </c>
      <c r="BC108" s="52">
        <v>14.597693788704788</v>
      </c>
      <c r="BD108" s="52">
        <v>486.96559999999999</v>
      </c>
      <c r="BE108" s="52">
        <v>70.057699999999997</v>
      </c>
      <c r="BF108" s="52">
        <v>14.38658090017036</v>
      </c>
      <c r="BG108" s="52">
        <v>1469.8667</v>
      </c>
      <c r="BH108" s="52">
        <v>227.13309999999998</v>
      </c>
      <c r="BI108" s="52">
        <v>15.452632541440661</v>
      </c>
      <c r="BJ108" s="52">
        <v>1236.7245</v>
      </c>
      <c r="BK108" s="52">
        <v>233.84950000000001</v>
      </c>
      <c r="BL108" s="52">
        <v>18.908778794307057</v>
      </c>
      <c r="BM108" s="52">
        <v>1195.2719</v>
      </c>
      <c r="BN108" s="66">
        <v>204.5061</v>
      </c>
      <c r="BO108" s="66">
        <v>17.109588203320101</v>
      </c>
      <c r="BP108" s="66">
        <v>257.24449999999996</v>
      </c>
      <c r="BQ108" s="66">
        <v>278.36989999999992</v>
      </c>
      <c r="BR108" s="66">
        <v>270.24840000000006</v>
      </c>
      <c r="BS108" s="66">
        <v>767.10100000000011</v>
      </c>
      <c r="BT108" s="52">
        <v>513.69150000000013</v>
      </c>
      <c r="BU108" s="52">
        <v>496.14780000000002</v>
      </c>
      <c r="BV108" s="52">
        <v>327.52439999999996</v>
      </c>
      <c r="BW108" s="95">
        <v>421.14580000000001</v>
      </c>
      <c r="BX108" s="32">
        <v>334.04140000000001</v>
      </c>
      <c r="BY108" s="116">
        <v>437.44249999999994</v>
      </c>
      <c r="BZ108" s="32">
        <v>367.87329999999997</v>
      </c>
      <c r="CA108" s="32">
        <v>316.22359999999998</v>
      </c>
      <c r="CB108" s="32">
        <v>509.54769999999996</v>
      </c>
      <c r="CC108" s="52">
        <v>403.62430000000001</v>
      </c>
      <c r="CD108" s="52">
        <v>506.27840000000003</v>
      </c>
      <c r="CE108" s="95">
        <v>595.2245999999999</v>
      </c>
      <c r="CF108" s="52">
        <v>518.55439999999999</v>
      </c>
      <c r="CG108" s="52">
        <v>428.20230000000009</v>
      </c>
      <c r="CH108" s="52">
        <v>587.32079999999996</v>
      </c>
      <c r="CI108" s="32">
        <v>617.04550000000006</v>
      </c>
      <c r="CJ108" s="32">
        <f>60.1993+120.6468+14.872+6.3129+0.1796+0.369+0.37+78.283+31.5026+12.2758+18.3576+30.2822+0.6566+6.494+130.728</f>
        <v>511.52939999999995</v>
      </c>
      <c r="CK108" s="32">
        <v>642.69769999999994</v>
      </c>
      <c r="CL108" s="32">
        <v>645.39819999999997</v>
      </c>
      <c r="CM108" s="32">
        <f>0.0001+51.4583+157.8248+98+0.0001+0.27+0.1801+0.0001+0.1003+88.2+46.8+23.4+47.7+48+0.005+31.5+68.2632</f>
        <v>661.70199999999988</v>
      </c>
      <c r="CN108" s="32">
        <f>45.6718+105.1626+97.896+0.2395+0.1752+59.4936+40.5024+11.2075+49.3038+28.9683+0.0031+28.2043+58.8301</f>
        <v>525.65819999999997</v>
      </c>
      <c r="CO108" s="32">
        <f>2.3401+92.1363+220.4659+1.92+0.0001+0.18+0.3001+0.9+1.3502+98.9676+54.03+22.5+40.5+36.0001+0.0001+0.0001+78.3+3.6+43.4375</f>
        <v>696.92809999999986</v>
      </c>
      <c r="CP108" s="32">
        <f>2.67+59.709+205.551+6.24+17.1127+0.24+0.4+0.54+9.66+51.9723+17.3241+42.3+45+59.4+1.8+14.2341+1.8+37.172</f>
        <v>573.12520000000006</v>
      </c>
      <c r="CQ108" s="32">
        <f>15.1501+54.3898+387.2505+15.43+0.0001+0.0001+1.7+1.8+0.711+9.7402+73.4562+24.4854+0.0001+31.176+49.5+18+36+3.6+43.6022</f>
        <v>765.99170000000004</v>
      </c>
    </row>
    <row r="109" spans="1:95" ht="15.75" x14ac:dyDescent="0.25">
      <c r="A109" s="63" t="s">
        <v>149</v>
      </c>
      <c r="B109" s="64">
        <v>491.40890000000002</v>
      </c>
      <c r="C109" s="64">
        <v>0</v>
      </c>
      <c r="D109" s="64">
        <v>0</v>
      </c>
      <c r="E109" s="64">
        <v>548.25779999999997</v>
      </c>
      <c r="F109" s="64">
        <v>0</v>
      </c>
      <c r="G109" s="64">
        <v>0</v>
      </c>
      <c r="H109" s="64">
        <v>522.91819999999996</v>
      </c>
      <c r="I109" s="64">
        <v>0</v>
      </c>
      <c r="J109" s="64">
        <v>0</v>
      </c>
      <c r="K109" s="64">
        <v>357.98250000000002</v>
      </c>
      <c r="L109" s="64">
        <v>0</v>
      </c>
      <c r="M109" s="64">
        <v>0</v>
      </c>
      <c r="N109" s="64">
        <v>417.79500000000002</v>
      </c>
      <c r="O109" s="64">
        <v>76.278999999999996</v>
      </c>
      <c r="P109" s="64">
        <v>18.257518639524168</v>
      </c>
      <c r="Q109" s="64">
        <v>400.82580000000002</v>
      </c>
      <c r="R109" s="64">
        <v>78.927300000000002</v>
      </c>
      <c r="S109" s="64">
        <v>19.691172574220523</v>
      </c>
      <c r="T109" s="64">
        <v>560.15340000000003</v>
      </c>
      <c r="U109" s="64">
        <v>93.943799999999996</v>
      </c>
      <c r="V109" s="64">
        <v>16.77108449221231</v>
      </c>
      <c r="W109" s="64">
        <v>477.19060000000002</v>
      </c>
      <c r="X109" s="64">
        <v>101.6914</v>
      </c>
      <c r="Y109" s="64">
        <v>21.310436542547148</v>
      </c>
      <c r="Z109" s="64">
        <v>470.8503</v>
      </c>
      <c r="AA109" s="64">
        <v>95.244200000000006</v>
      </c>
      <c r="AB109" s="64">
        <v>20.228127708530717</v>
      </c>
      <c r="AC109" s="64">
        <v>753.06820000000005</v>
      </c>
      <c r="AD109" s="64">
        <v>95.141099999999994</v>
      </c>
      <c r="AE109" s="64">
        <v>12.633795982887072</v>
      </c>
      <c r="AF109" s="64">
        <v>543.61469999999997</v>
      </c>
      <c r="AG109" s="64">
        <v>77.193399999999997</v>
      </c>
      <c r="AH109" s="64">
        <v>14.200020713199994</v>
      </c>
      <c r="AI109" s="64">
        <v>519.42899999999997</v>
      </c>
      <c r="AJ109" s="64">
        <v>74.481400000000008</v>
      </c>
      <c r="AK109" s="64">
        <v>14.339091579407389</v>
      </c>
      <c r="AL109" s="64">
        <v>932.36040000000003</v>
      </c>
      <c r="AM109" s="64">
        <v>138.36359999999999</v>
      </c>
      <c r="AN109" s="64">
        <v>14.84014121577879</v>
      </c>
      <c r="AO109" s="64">
        <v>868.36249999999995</v>
      </c>
      <c r="AP109" s="64">
        <v>122.1481</v>
      </c>
      <c r="AQ109" s="64">
        <v>14.066487210122503</v>
      </c>
      <c r="AR109" s="64">
        <v>735.4579</v>
      </c>
      <c r="AS109" s="64">
        <v>96.630300000000005</v>
      </c>
      <c r="AT109" s="64">
        <v>13.138794212421951</v>
      </c>
      <c r="AU109" s="64">
        <v>664.11500000000001</v>
      </c>
      <c r="AV109" s="64">
        <v>75.291499999999999</v>
      </c>
      <c r="AW109" s="64">
        <v>11.337117818450118</v>
      </c>
      <c r="AX109" s="64">
        <v>776.38689999999997</v>
      </c>
      <c r="AY109" s="64">
        <v>103.21420000000002</v>
      </c>
      <c r="AZ109" s="64">
        <v>13.294170728537541</v>
      </c>
      <c r="BA109" s="64">
        <v>530.99720000000002</v>
      </c>
      <c r="BB109" s="64">
        <v>77.048000000000002</v>
      </c>
      <c r="BC109" s="64">
        <v>14.510057680153492</v>
      </c>
      <c r="BD109" s="64">
        <v>490.10419999999999</v>
      </c>
      <c r="BE109" s="64">
        <v>70.057699999999997</v>
      </c>
      <c r="BF109" s="64">
        <v>14.294450037359402</v>
      </c>
      <c r="BG109" s="64">
        <v>1475.5833</v>
      </c>
      <c r="BH109" s="64">
        <v>227.13309999999998</v>
      </c>
      <c r="BI109" s="64">
        <v>15.39276705015569</v>
      </c>
      <c r="BJ109" s="64">
        <v>1242.8359</v>
      </c>
      <c r="BK109" s="64">
        <v>233.84950000000001</v>
      </c>
      <c r="BL109" s="64">
        <v>18.815798610259005</v>
      </c>
      <c r="BM109" s="64">
        <v>1201.3354999999999</v>
      </c>
      <c r="BN109" s="64">
        <v>204.5061</v>
      </c>
      <c r="BO109" s="64">
        <v>17.023229564097626</v>
      </c>
      <c r="BP109" s="64">
        <v>257.24449999999996</v>
      </c>
      <c r="BQ109" s="64">
        <v>278.36989999999992</v>
      </c>
      <c r="BR109" s="64">
        <v>270.24840000000006</v>
      </c>
      <c r="BS109" s="64">
        <v>767.10100000000011</v>
      </c>
      <c r="BT109" s="64">
        <v>513.69150000000013</v>
      </c>
      <c r="BU109" s="64">
        <v>496.14780000000002</v>
      </c>
      <c r="BV109" s="64">
        <v>327.52439999999996</v>
      </c>
      <c r="BW109" s="96">
        <v>421.14580000000001</v>
      </c>
      <c r="BX109" s="96">
        <v>334.04140000000001</v>
      </c>
      <c r="BY109" s="96">
        <v>437.44249999999994</v>
      </c>
      <c r="BZ109" s="96">
        <v>367.87329999999997</v>
      </c>
      <c r="CA109" s="96">
        <v>316.22359999999998</v>
      </c>
      <c r="CB109" s="96">
        <v>509.54769999999996</v>
      </c>
      <c r="CC109" s="96">
        <v>403.62430000000001</v>
      </c>
      <c r="CD109" s="96">
        <v>506.27840000000003</v>
      </c>
      <c r="CE109" s="96">
        <v>597.36449999999991</v>
      </c>
      <c r="CF109" s="64">
        <v>518.55470000000003</v>
      </c>
      <c r="CG109" s="64">
        <v>428.20230000000009</v>
      </c>
      <c r="CH109" s="64">
        <v>587.32119999999998</v>
      </c>
      <c r="CI109" s="64">
        <v>626.33140000000003</v>
      </c>
      <c r="CJ109" s="64">
        <f>SUM(CJ107:CJ108)</f>
        <v>511.96799999999996</v>
      </c>
      <c r="CK109" s="64">
        <v>651.69789999999989</v>
      </c>
      <c r="CL109" s="64">
        <v>654.79830000000004</v>
      </c>
      <c r="CM109" s="33">
        <f>SUM(CM107:CM108)</f>
        <v>671.12909999999988</v>
      </c>
      <c r="CN109" s="33">
        <f>SUM(CN107:CN108)</f>
        <v>526.05819999999994</v>
      </c>
      <c r="CO109" s="33">
        <f>SUM(CO107:CO108)</f>
        <v>706.28819999999985</v>
      </c>
      <c r="CP109" s="33">
        <f>SUM(CP107:CP108)</f>
        <v>573.48530000000005</v>
      </c>
      <c r="CQ109" s="33">
        <f>SUM(CQ107:CQ108)</f>
        <v>766.71190000000001</v>
      </c>
    </row>
    <row r="110" spans="1:95" ht="15.75" x14ac:dyDescent="0.25">
      <c r="A110" s="62" t="s">
        <v>150</v>
      </c>
      <c r="B110" s="52"/>
      <c r="C110" s="52"/>
      <c r="D110" s="52"/>
      <c r="E110" s="52"/>
      <c r="F110" s="52"/>
      <c r="G110" s="52"/>
      <c r="H110" s="52"/>
      <c r="I110" s="52"/>
      <c r="J110" s="52"/>
      <c r="K110" s="52">
        <v>12.2372</v>
      </c>
      <c r="L110" s="52">
        <v>0</v>
      </c>
      <c r="M110" s="52">
        <v>0</v>
      </c>
      <c r="N110" s="52">
        <v>13.344099999999999</v>
      </c>
      <c r="O110" s="52">
        <v>2.0485000000000002</v>
      </c>
      <c r="P110" s="52">
        <v>15.351353781821182</v>
      </c>
      <c r="Q110" s="52">
        <v>11.8895</v>
      </c>
      <c r="R110" s="52">
        <v>1.1137999999999999</v>
      </c>
      <c r="S110" s="52">
        <v>9.367929685857268</v>
      </c>
      <c r="T110" s="52">
        <v>13.5625</v>
      </c>
      <c r="U110" s="52">
        <v>2.4300000000000002</v>
      </c>
      <c r="V110" s="52">
        <v>17.917050691244242</v>
      </c>
      <c r="W110" s="52">
        <v>14.003500000000001</v>
      </c>
      <c r="X110" s="52">
        <v>1.03</v>
      </c>
      <c r="Y110" s="52">
        <v>7.3553040311350735</v>
      </c>
      <c r="Z110" s="52">
        <v>12.805999999999999</v>
      </c>
      <c r="AA110" s="52">
        <v>0.96630000000000005</v>
      </c>
      <c r="AB110" s="52">
        <v>7.5456817116976422</v>
      </c>
      <c r="AC110" s="52">
        <v>36.080199999999998</v>
      </c>
      <c r="AD110" s="52">
        <v>2.5739999999999998</v>
      </c>
      <c r="AE110" s="52">
        <v>7.1341067954168764</v>
      </c>
      <c r="AF110" s="52">
        <v>44.049599999999998</v>
      </c>
      <c r="AG110" s="52">
        <v>2.5739999999999998</v>
      </c>
      <c r="AH110" s="52">
        <v>5.8434128800261522</v>
      </c>
      <c r="AI110" s="52">
        <v>36.830199999999998</v>
      </c>
      <c r="AJ110" s="52">
        <v>1.9282999999999999</v>
      </c>
      <c r="AK110" s="52">
        <v>5.2356490054357563</v>
      </c>
      <c r="AL110" s="52">
        <v>43.175400000000003</v>
      </c>
      <c r="AM110" s="52">
        <v>3.9436</v>
      </c>
      <c r="AN110" s="52">
        <v>9.1339049551364884</v>
      </c>
      <c r="AO110" s="52">
        <v>47.925400000000003</v>
      </c>
      <c r="AP110" s="52">
        <v>4.8437000000000001</v>
      </c>
      <c r="AQ110" s="52">
        <v>10.106749239442967</v>
      </c>
      <c r="AR110" s="52">
        <v>53.705399999999997</v>
      </c>
      <c r="AS110" s="52">
        <v>7.3367000000000004</v>
      </c>
      <c r="AT110" s="52">
        <v>13.661009879825867</v>
      </c>
      <c r="AU110" s="52">
        <v>31.7561</v>
      </c>
      <c r="AV110" s="52">
        <v>2.9552999999999998</v>
      </c>
      <c r="AW110" s="52">
        <v>9.3062435248660886</v>
      </c>
      <c r="AX110" s="52">
        <v>51.0351</v>
      </c>
      <c r="AY110" s="52">
        <v>7.6356999999999999</v>
      </c>
      <c r="AZ110" s="52">
        <v>14.961663639338415</v>
      </c>
      <c r="BA110" s="52">
        <v>46.049100000000003</v>
      </c>
      <c r="BB110" s="52">
        <v>3.9615</v>
      </c>
      <c r="BC110" s="52">
        <v>8.6027739955829752</v>
      </c>
      <c r="BD110" s="52">
        <v>40.515599999999999</v>
      </c>
      <c r="BE110" s="52">
        <v>3.0062000000000002</v>
      </c>
      <c r="BF110" s="52">
        <v>7.4198580299933852</v>
      </c>
      <c r="BG110" s="52">
        <v>55.222000000000001</v>
      </c>
      <c r="BH110" s="52">
        <v>8.3125</v>
      </c>
      <c r="BI110" s="52">
        <v>15.052877476368115</v>
      </c>
      <c r="BJ110" s="52">
        <v>50.991599999999998</v>
      </c>
      <c r="BK110" s="52">
        <v>7.5730000000000004</v>
      </c>
      <c r="BL110" s="52">
        <v>14.851465731610697</v>
      </c>
      <c r="BM110" s="52">
        <v>49.039900000000003</v>
      </c>
      <c r="BN110" s="52">
        <v>7.5537999999999998</v>
      </c>
      <c r="BO110" s="66">
        <v>15.403375618628912</v>
      </c>
      <c r="BP110" s="66">
        <v>10.0442</v>
      </c>
      <c r="BQ110" s="52">
        <v>10.63</v>
      </c>
      <c r="BR110" s="52">
        <v>10.559200000000001</v>
      </c>
      <c r="BS110" s="52">
        <v>8.9200999999999997</v>
      </c>
      <c r="BT110" s="52">
        <v>6.2603</v>
      </c>
      <c r="BU110" s="52">
        <v>5.9762000000000004</v>
      </c>
      <c r="BV110" s="52">
        <v>8.6259999999999994</v>
      </c>
      <c r="BW110" s="95">
        <v>4.1223000000000001</v>
      </c>
      <c r="BX110" s="32">
        <v>2.8129</v>
      </c>
      <c r="BY110" s="116">
        <v>6.6756000000000002</v>
      </c>
      <c r="BZ110" s="32">
        <v>2.1795</v>
      </c>
      <c r="CA110" s="32">
        <v>2.1795</v>
      </c>
      <c r="CB110" s="32">
        <v>5.4200999999999997</v>
      </c>
      <c r="CC110" s="52">
        <v>1.3823000000000001</v>
      </c>
      <c r="CD110" s="52">
        <v>1.3823000000000001</v>
      </c>
      <c r="CE110" s="95">
        <v>2.3593999999999999</v>
      </c>
      <c r="CF110" s="52">
        <v>1.49</v>
      </c>
      <c r="CG110" s="52">
        <v>1.49</v>
      </c>
      <c r="CH110" s="52">
        <v>2.1800999999999999</v>
      </c>
      <c r="CI110" s="32">
        <v>1.99</v>
      </c>
      <c r="CJ110" s="32">
        <v>1.9153</v>
      </c>
      <c r="CK110" s="32">
        <v>2.5200999999999998</v>
      </c>
      <c r="CL110" s="32">
        <v>6.9701000000000004</v>
      </c>
      <c r="CM110" s="32">
        <v>2.6196000000000002</v>
      </c>
      <c r="CN110" s="32">
        <v>1.9433</v>
      </c>
      <c r="CO110" s="32">
        <v>8.6823999999999995</v>
      </c>
      <c r="CP110" s="32">
        <v>7.6722999999999999</v>
      </c>
      <c r="CQ110" s="32">
        <v>8.5777999999999999</v>
      </c>
    </row>
    <row r="111" spans="1:95" ht="15.75" x14ac:dyDescent="0.25">
      <c r="A111" s="62" t="s">
        <v>151</v>
      </c>
      <c r="B111" s="52"/>
      <c r="C111" s="52"/>
      <c r="D111" s="52"/>
      <c r="E111" s="52"/>
      <c r="F111" s="52"/>
      <c r="G111" s="52"/>
      <c r="H111" s="52"/>
      <c r="I111" s="52"/>
      <c r="J111" s="52"/>
      <c r="K111" s="52">
        <v>122.3357</v>
      </c>
      <c r="L111" s="52">
        <v>0</v>
      </c>
      <c r="M111" s="52">
        <v>0</v>
      </c>
      <c r="N111" s="52">
        <v>77.000200000000007</v>
      </c>
      <c r="O111" s="52">
        <v>3.42</v>
      </c>
      <c r="P111" s="52">
        <v>4.4415469050729728</v>
      </c>
      <c r="Q111" s="52">
        <v>41.041800000000002</v>
      </c>
      <c r="R111" s="52">
        <v>2.3359999999999999</v>
      </c>
      <c r="S111" s="52">
        <v>5.6917581587552197</v>
      </c>
      <c r="T111" s="52">
        <v>93.093400000000003</v>
      </c>
      <c r="U111" s="52">
        <v>15.3</v>
      </c>
      <c r="V111" s="52">
        <v>16.435107107485599</v>
      </c>
      <c r="W111" s="52">
        <v>65.831100000000006</v>
      </c>
      <c r="X111" s="52">
        <v>14.3</v>
      </c>
      <c r="Y111" s="52">
        <v>21.722255894250591</v>
      </c>
      <c r="Z111" s="52">
        <v>71.365399999999994</v>
      </c>
      <c r="AA111" s="52">
        <v>14.3</v>
      </c>
      <c r="AB111" s="52">
        <v>20.037721360771467</v>
      </c>
      <c r="AC111" s="52">
        <v>100.38</v>
      </c>
      <c r="AD111" s="52">
        <v>17.054500000000001</v>
      </c>
      <c r="AE111" s="52">
        <v>16.989938234708109</v>
      </c>
      <c r="AF111" s="52">
        <v>113.12090000000001</v>
      </c>
      <c r="AG111" s="52">
        <v>17.8749</v>
      </c>
      <c r="AH111" s="52">
        <v>15.801589273069785</v>
      </c>
      <c r="AI111" s="52">
        <v>100.9829</v>
      </c>
      <c r="AJ111" s="52">
        <v>14.712899999999999</v>
      </c>
      <c r="AK111" s="52">
        <v>14.569694473024642</v>
      </c>
      <c r="AL111" s="52">
        <v>110</v>
      </c>
      <c r="AM111" s="52">
        <v>24.914999999999999</v>
      </c>
      <c r="AN111" s="52">
        <v>22.65</v>
      </c>
      <c r="AO111" s="52">
        <v>106.34829999999999</v>
      </c>
      <c r="AP111" s="52">
        <v>24.827300000000001</v>
      </c>
      <c r="AQ111" s="52">
        <v>23.345272091796488</v>
      </c>
      <c r="AR111" s="52">
        <v>95.179299999999998</v>
      </c>
      <c r="AS111" s="32">
        <v>20.259</v>
      </c>
      <c r="AT111" s="52">
        <v>21.285090350527899</v>
      </c>
      <c r="AU111" s="52">
        <v>92.015600000000006</v>
      </c>
      <c r="AV111" s="52">
        <v>13.845800000000002</v>
      </c>
      <c r="AW111" s="52">
        <v>15.047231121679369</v>
      </c>
      <c r="AX111" s="52">
        <v>54.8127</v>
      </c>
      <c r="AY111" s="52">
        <v>7.7795999999999985</v>
      </c>
      <c r="AZ111" s="52">
        <v>14.193061097154489</v>
      </c>
      <c r="BA111" s="52">
        <v>151.40860000000001</v>
      </c>
      <c r="BB111" s="52">
        <v>28.142600000000002</v>
      </c>
      <c r="BC111" s="52">
        <v>18.587187253564196</v>
      </c>
      <c r="BD111" s="52">
        <v>145.9847</v>
      </c>
      <c r="BE111" s="52">
        <v>27.692</v>
      </c>
      <c r="BF111" s="52">
        <v>18.96911114657906</v>
      </c>
      <c r="BG111" s="52">
        <v>80.471599999999995</v>
      </c>
      <c r="BH111" s="52">
        <v>15.705</v>
      </c>
      <c r="BI111" s="52">
        <v>19.516201989273235</v>
      </c>
      <c r="BJ111" s="52">
        <v>109.5506</v>
      </c>
      <c r="BK111" s="52">
        <v>20.3169</v>
      </c>
      <c r="BL111" s="52">
        <v>18.545676609712771</v>
      </c>
      <c r="BM111" s="52">
        <v>109.89</v>
      </c>
      <c r="BN111" s="52">
        <v>18.525700000000001</v>
      </c>
      <c r="BO111" s="66">
        <v>16.858403858403857</v>
      </c>
      <c r="BP111" s="66">
        <v>30.986999999999998</v>
      </c>
      <c r="BQ111" s="52">
        <v>29.622999999999998</v>
      </c>
      <c r="BR111" s="52">
        <v>34.491099999999996</v>
      </c>
      <c r="BS111" s="52">
        <v>31.788</v>
      </c>
      <c r="BT111" s="52">
        <v>21.135800000000003</v>
      </c>
      <c r="BU111" s="52">
        <v>20.4453</v>
      </c>
      <c r="BV111" s="52">
        <v>45.000000000000007</v>
      </c>
      <c r="BW111" s="95">
        <v>29.282599999999995</v>
      </c>
      <c r="BX111" s="32">
        <v>26.125</v>
      </c>
      <c r="BY111" s="116">
        <v>47.3489</v>
      </c>
      <c r="BZ111" s="32">
        <v>28.942500000000003</v>
      </c>
      <c r="CA111" s="32">
        <v>24.816099999999999</v>
      </c>
      <c r="CB111" s="32">
        <v>37.4499</v>
      </c>
      <c r="CC111" s="52">
        <v>39.264400000000002</v>
      </c>
      <c r="CD111" s="52">
        <v>27.074799999999996</v>
      </c>
      <c r="CE111" s="95">
        <v>94.900200000000012</v>
      </c>
      <c r="CF111" s="52">
        <v>73.263199999999998</v>
      </c>
      <c r="CG111" s="52">
        <v>42.051400000000001</v>
      </c>
      <c r="CH111" s="52">
        <v>61.86</v>
      </c>
      <c r="CI111" s="32">
        <v>58.599200000000003</v>
      </c>
      <c r="CJ111" s="32">
        <f>23.2099+3.7023+4.4293+1.3765+2.6966+12.2838+5.9004</f>
        <v>53.598800000000004</v>
      </c>
      <c r="CK111" s="32">
        <v>57.211600000000004</v>
      </c>
      <c r="CL111" s="32">
        <v>57.211599999999997</v>
      </c>
      <c r="CM111" s="32">
        <f>20.4265+0.2388+6.12+0.009+2.16+2.34+9+8</f>
        <v>48.294300000000007</v>
      </c>
      <c r="CN111" s="32">
        <f>17.8674+0.1497+6.0926+1.9357+2.3399+9.4013+4.3732</f>
        <v>42.159799999999997</v>
      </c>
      <c r="CO111" s="32">
        <f>21.6+0.018+3.6+0.0001+1.8+2.7+7.2+48</f>
        <v>84.91810000000001</v>
      </c>
      <c r="CP111" s="32">
        <f>21.6+0.5706+2.52+0.8514+2.5+18+3.78</f>
        <v>49.822000000000003</v>
      </c>
      <c r="CQ111" s="32">
        <f>18+8.3801+1.53+1.512+0.27+1.8+23.4</f>
        <v>54.892099999999999</v>
      </c>
    </row>
    <row r="112" spans="1:95" ht="15.75" x14ac:dyDescent="0.25">
      <c r="A112" s="63" t="s">
        <v>152</v>
      </c>
      <c r="B112" s="64"/>
      <c r="C112" s="64"/>
      <c r="D112" s="64"/>
      <c r="E112" s="64"/>
      <c r="F112" s="64"/>
      <c r="G112" s="64"/>
      <c r="H112" s="64"/>
      <c r="I112" s="64"/>
      <c r="J112" s="64"/>
      <c r="K112" s="64">
        <v>134.5729</v>
      </c>
      <c r="L112" s="64">
        <v>0</v>
      </c>
      <c r="M112" s="64">
        <v>0</v>
      </c>
      <c r="N112" s="64">
        <v>90.344300000000004</v>
      </c>
      <c r="O112" s="64">
        <v>5.4685000000000006</v>
      </c>
      <c r="P112" s="64">
        <v>6.0529551947383515</v>
      </c>
      <c r="Q112" s="64">
        <v>52.9313</v>
      </c>
      <c r="R112" s="64">
        <v>3.4498000000000002</v>
      </c>
      <c r="S112" s="64">
        <v>6.5175047656112737</v>
      </c>
      <c r="T112" s="64">
        <v>106.6559</v>
      </c>
      <c r="U112" s="64">
        <v>17.73</v>
      </c>
      <c r="V112" s="64">
        <v>16.62355293987487</v>
      </c>
      <c r="W112" s="64">
        <v>79.834599999999995</v>
      </c>
      <c r="X112" s="64">
        <v>15.33</v>
      </c>
      <c r="Y112" s="64">
        <v>19.202200549636377</v>
      </c>
      <c r="Z112" s="64">
        <v>84.171400000000006</v>
      </c>
      <c r="AA112" s="64">
        <v>15.266299999999999</v>
      </c>
      <c r="AB112" s="64">
        <v>18.137158227141285</v>
      </c>
      <c r="AC112" s="64">
        <v>136.46019999999999</v>
      </c>
      <c r="AD112" s="64">
        <v>19.628499999999999</v>
      </c>
      <c r="AE112" s="64">
        <v>14.384047509823377</v>
      </c>
      <c r="AF112" s="64">
        <v>157.1705</v>
      </c>
      <c r="AG112" s="64">
        <v>20.448899999999998</v>
      </c>
      <c r="AH112" s="64">
        <v>13.010647672432166</v>
      </c>
      <c r="AI112" s="64">
        <v>137.81309999999999</v>
      </c>
      <c r="AJ112" s="64">
        <v>16.641199999999998</v>
      </c>
      <c r="AK112" s="64">
        <v>12.075194593257098</v>
      </c>
      <c r="AL112" s="64">
        <v>153.1754</v>
      </c>
      <c r="AM112" s="64">
        <v>28.858599999999999</v>
      </c>
      <c r="AN112" s="64">
        <v>18.840231525427711</v>
      </c>
      <c r="AO112" s="64">
        <v>154.27369999999999</v>
      </c>
      <c r="AP112" s="64">
        <v>29.670999999999999</v>
      </c>
      <c r="AQ112" s="64">
        <v>19.232701361281933</v>
      </c>
      <c r="AR112" s="64">
        <v>148.88470000000001</v>
      </c>
      <c r="AS112" s="64">
        <v>27.595700000000001</v>
      </c>
      <c r="AT112" s="64">
        <v>18.534946841414865</v>
      </c>
      <c r="AU112" s="64">
        <v>123.77170000000001</v>
      </c>
      <c r="AV112" s="64">
        <v>16.801100000000002</v>
      </c>
      <c r="AW112" s="64">
        <v>13.574266169083888</v>
      </c>
      <c r="AX112" s="64">
        <v>105.84780000000001</v>
      </c>
      <c r="AY112" s="64">
        <v>15.415299999999998</v>
      </c>
      <c r="AZ112" s="64">
        <v>14.563647047931083</v>
      </c>
      <c r="BA112" s="64">
        <v>197.45770000000002</v>
      </c>
      <c r="BB112" s="64">
        <v>32.104100000000003</v>
      </c>
      <c r="BC112" s="64">
        <v>16.258722754291171</v>
      </c>
      <c r="BD112" s="64">
        <v>186.50030000000001</v>
      </c>
      <c r="BE112" s="64">
        <v>30.6982</v>
      </c>
      <c r="BF112" s="64">
        <v>16.460134380480891</v>
      </c>
      <c r="BG112" s="64">
        <v>135.6936</v>
      </c>
      <c r="BH112" s="64">
        <v>24.017499999999998</v>
      </c>
      <c r="BI112" s="64">
        <v>17.699803085775599</v>
      </c>
      <c r="BJ112" s="64">
        <v>160.54220000000001</v>
      </c>
      <c r="BK112" s="64">
        <v>27.889900000000001</v>
      </c>
      <c r="BL112" s="64">
        <v>17.372317060561024</v>
      </c>
      <c r="BM112" s="64">
        <v>158.9299</v>
      </c>
      <c r="BN112" s="64">
        <v>26.079499999999999</v>
      </c>
      <c r="BO112" s="64">
        <v>16.409435858199117</v>
      </c>
      <c r="BP112" s="64">
        <v>41.031199999999998</v>
      </c>
      <c r="BQ112" s="64">
        <v>40.253</v>
      </c>
      <c r="BR112" s="64">
        <v>45.050299999999993</v>
      </c>
      <c r="BS112" s="64">
        <v>40.708100000000002</v>
      </c>
      <c r="BT112" s="64">
        <v>27.396100000000004</v>
      </c>
      <c r="BU112" s="64">
        <v>26.421500000000002</v>
      </c>
      <c r="BV112" s="64">
        <v>53.626000000000005</v>
      </c>
      <c r="BW112" s="96">
        <v>33.404899999999998</v>
      </c>
      <c r="BX112" s="96">
        <v>28.937899999999999</v>
      </c>
      <c r="BY112" s="96">
        <v>54.024500000000003</v>
      </c>
      <c r="BZ112" s="96">
        <v>31.122000000000003</v>
      </c>
      <c r="CA112" s="96">
        <v>26.9956</v>
      </c>
      <c r="CB112" s="96">
        <v>42.87</v>
      </c>
      <c r="CC112" s="96">
        <v>40.646700000000003</v>
      </c>
      <c r="CD112" s="96">
        <v>28.457099999999997</v>
      </c>
      <c r="CE112" s="96">
        <v>97.259600000000006</v>
      </c>
      <c r="CF112" s="64">
        <v>74.753199999999993</v>
      </c>
      <c r="CG112" s="64">
        <v>43.541400000000003</v>
      </c>
      <c r="CH112" s="64">
        <v>64.040099999999995</v>
      </c>
      <c r="CI112" s="64">
        <v>60.589200000000005</v>
      </c>
      <c r="CJ112" s="64">
        <f>SUM(CJ110:CJ111)</f>
        <v>55.514100000000006</v>
      </c>
      <c r="CK112" s="64">
        <v>59.731700000000004</v>
      </c>
      <c r="CL112" s="64">
        <v>64.181700000000006</v>
      </c>
      <c r="CM112" s="33">
        <f>SUM(CM110:CM111)</f>
        <v>50.913900000000005</v>
      </c>
      <c r="CN112" s="33">
        <f>SUM(CN110:CN111)</f>
        <v>44.103099999999998</v>
      </c>
      <c r="CO112" s="33">
        <f>SUM(CO110:CO111)</f>
        <v>93.600500000000011</v>
      </c>
      <c r="CP112" s="33">
        <f>SUM(CP110:CP111)</f>
        <v>57.494300000000003</v>
      </c>
      <c r="CQ112" s="33">
        <f>SUM(CQ110:CQ111)</f>
        <v>63.469899999999996</v>
      </c>
    </row>
    <row r="113" spans="1:95" ht="15.75" x14ac:dyDescent="0.25">
      <c r="A113" s="16" t="s">
        <v>153</v>
      </c>
      <c r="B113" s="12">
        <v>0.25</v>
      </c>
      <c r="C113" s="12">
        <v>0</v>
      </c>
      <c r="D113" s="12">
        <v>0</v>
      </c>
      <c r="E113" s="12">
        <v>2.0731000000000002</v>
      </c>
      <c r="F113" s="12">
        <v>0</v>
      </c>
      <c r="G113" s="12">
        <v>0</v>
      </c>
      <c r="H113" s="12">
        <v>2.7602000000000002</v>
      </c>
      <c r="I113" s="12">
        <v>0</v>
      </c>
      <c r="J113" s="12">
        <v>0</v>
      </c>
      <c r="K113" s="12">
        <v>12.993600000000001</v>
      </c>
      <c r="L113" s="12">
        <v>0</v>
      </c>
      <c r="M113" s="12">
        <v>0</v>
      </c>
      <c r="N113" s="12">
        <v>67.202600000000004</v>
      </c>
      <c r="O113" s="12">
        <v>9.24</v>
      </c>
      <c r="P113" s="12">
        <v>13.749468026534686</v>
      </c>
      <c r="Q113" s="12">
        <v>37.714799999999997</v>
      </c>
      <c r="R113" s="12">
        <v>10.7744</v>
      </c>
      <c r="S113" s="12">
        <v>28.568095283549166</v>
      </c>
      <c r="T113" s="12">
        <v>73.220100000000002</v>
      </c>
      <c r="U113" s="12">
        <v>22.5</v>
      </c>
      <c r="V113" s="12">
        <v>30.729266963579672</v>
      </c>
      <c r="W113" s="12">
        <v>70.451999999999998</v>
      </c>
      <c r="X113" s="12">
        <v>22.4</v>
      </c>
      <c r="Y113" s="12">
        <v>31.794697098733888</v>
      </c>
      <c r="Z113" s="12">
        <v>50.012799999999999</v>
      </c>
      <c r="AA113" s="12">
        <v>20.0242</v>
      </c>
      <c r="AB113" s="12">
        <v>40.038150233540215</v>
      </c>
      <c r="AC113" s="12">
        <v>80.8</v>
      </c>
      <c r="AD113" s="12">
        <v>15.3</v>
      </c>
      <c r="AE113" s="12">
        <v>18.935643564356436</v>
      </c>
      <c r="AF113" s="12">
        <v>56.52</v>
      </c>
      <c r="AG113" s="12">
        <v>10.8</v>
      </c>
      <c r="AH113" s="12">
        <v>19.108280254777071</v>
      </c>
      <c r="AI113" s="12">
        <v>29.370899999999999</v>
      </c>
      <c r="AJ113" s="12">
        <v>6.2690000000000001</v>
      </c>
      <c r="AK113" s="12">
        <v>21.344255708881921</v>
      </c>
      <c r="AL113" s="12">
        <v>66.653099999999995</v>
      </c>
      <c r="AM113" s="12">
        <v>25.1</v>
      </c>
      <c r="AN113" s="12">
        <v>37.657663334488575</v>
      </c>
      <c r="AO113" s="12">
        <v>68.683099999999996</v>
      </c>
      <c r="AP113" s="12">
        <v>25.1</v>
      </c>
      <c r="AQ113" s="12">
        <v>36.544652177901114</v>
      </c>
      <c r="AR113" s="12">
        <v>49.462699999999998</v>
      </c>
      <c r="AS113" s="12">
        <v>15.39</v>
      </c>
      <c r="AT113" s="12">
        <v>31.114354857296512</v>
      </c>
      <c r="AU113" s="12">
        <v>40.595599999999997</v>
      </c>
      <c r="AV113" s="12">
        <v>15.2446</v>
      </c>
      <c r="AW113" s="12">
        <v>37.552345574397229</v>
      </c>
      <c r="AX113" s="12">
        <v>51.1404</v>
      </c>
      <c r="AY113" s="12">
        <v>21.55</v>
      </c>
      <c r="AZ113" s="12">
        <v>42.138896058693327</v>
      </c>
      <c r="BA113" s="12">
        <v>43.0777</v>
      </c>
      <c r="BB113" s="12">
        <v>16.672499999999999</v>
      </c>
      <c r="BC113" s="12">
        <v>38.703319815124757</v>
      </c>
      <c r="BD113" s="12">
        <v>28.9251</v>
      </c>
      <c r="BE113" s="12">
        <v>16.143000000000001</v>
      </c>
      <c r="BF113" s="12">
        <v>55.809660122177633</v>
      </c>
      <c r="BG113" s="12">
        <v>57.620699999999999</v>
      </c>
      <c r="BH113" s="12">
        <v>21.1175</v>
      </c>
      <c r="BI113" s="12">
        <v>36.649155598595648</v>
      </c>
      <c r="BJ113" s="12">
        <v>41.310699999999997</v>
      </c>
      <c r="BK113" s="12">
        <v>16.416</v>
      </c>
      <c r="BL113" s="12">
        <v>39.737888731006741</v>
      </c>
      <c r="BM113" s="12">
        <v>5.7968000000000002</v>
      </c>
      <c r="BN113" s="51">
        <v>0.3821</v>
      </c>
      <c r="BO113" s="51">
        <v>6.5915677615235992</v>
      </c>
      <c r="BP113" s="51">
        <v>2.7</v>
      </c>
      <c r="BQ113" s="51">
        <v>2.7</v>
      </c>
      <c r="BR113" s="51">
        <v>0.63480000000000003</v>
      </c>
      <c r="BS113" s="51">
        <v>1E-4</v>
      </c>
      <c r="BT113" s="12">
        <v>1.8939999999999999</v>
      </c>
      <c r="BU113" s="12">
        <v>1.4253</v>
      </c>
      <c r="BV113" s="12">
        <v>1E-4</v>
      </c>
      <c r="BW113" s="81">
        <v>0.19500000000000001</v>
      </c>
      <c r="BX113" s="13">
        <v>4.6300000000000001E-2</v>
      </c>
      <c r="BY113" s="109">
        <v>1E-4</v>
      </c>
      <c r="BZ113" s="13">
        <v>0.14860000000000001</v>
      </c>
      <c r="CA113" s="127">
        <v>0</v>
      </c>
      <c r="CB113" s="13">
        <v>1E-4</v>
      </c>
      <c r="CC113" s="12">
        <v>0.14860000000000001</v>
      </c>
      <c r="CD113" s="12">
        <v>0</v>
      </c>
      <c r="CE113" s="81">
        <v>1E-4</v>
      </c>
      <c r="CF113" s="12">
        <v>0.14860000000000001</v>
      </c>
      <c r="CG113" s="12">
        <v>0</v>
      </c>
      <c r="CH113" s="12">
        <v>1E-4</v>
      </c>
      <c r="CI113" s="12">
        <v>0</v>
      </c>
      <c r="CJ113" s="12">
        <v>0</v>
      </c>
      <c r="CK113" s="12">
        <v>1E-4</v>
      </c>
      <c r="CL113" s="13">
        <v>1E-4</v>
      </c>
      <c r="CM113" s="13">
        <v>0</v>
      </c>
      <c r="CN113" s="13">
        <v>0</v>
      </c>
      <c r="CO113" s="13">
        <v>1E-4</v>
      </c>
      <c r="CP113" s="13">
        <v>0</v>
      </c>
      <c r="CQ113" s="13">
        <v>1E-4</v>
      </c>
    </row>
    <row r="114" spans="1:95" ht="15.75" x14ac:dyDescent="0.25">
      <c r="A114" s="16" t="s">
        <v>154</v>
      </c>
      <c r="B114" s="12">
        <v>229.01560000000001</v>
      </c>
      <c r="C114" s="12">
        <v>0</v>
      </c>
      <c r="D114" s="12">
        <v>0</v>
      </c>
      <c r="E114" s="12">
        <v>173.3708</v>
      </c>
      <c r="F114" s="12">
        <v>0</v>
      </c>
      <c r="G114" s="12">
        <v>0</v>
      </c>
      <c r="H114" s="12">
        <v>134.12119999999999</v>
      </c>
      <c r="I114" s="12">
        <v>0</v>
      </c>
      <c r="J114" s="12">
        <v>0</v>
      </c>
      <c r="K114" s="12">
        <v>121.3098</v>
      </c>
      <c r="L114" s="12">
        <v>0</v>
      </c>
      <c r="M114" s="12">
        <v>0</v>
      </c>
      <c r="N114" s="12">
        <v>258.16750000000002</v>
      </c>
      <c r="O114" s="12">
        <v>40.754100000000001</v>
      </c>
      <c r="P114" s="12">
        <v>15.785914183621097</v>
      </c>
      <c r="Q114" s="12">
        <v>145.5009</v>
      </c>
      <c r="R114" s="12">
        <v>19.619499999999999</v>
      </c>
      <c r="S114" s="12">
        <v>13.484109033002545</v>
      </c>
      <c r="T114" s="12">
        <v>366.91609999999997</v>
      </c>
      <c r="U114" s="12">
        <v>60.960999999999999</v>
      </c>
      <c r="V114" s="12">
        <v>16.61442493256633</v>
      </c>
      <c r="W114" s="12">
        <v>298.06020000000001</v>
      </c>
      <c r="X114" s="12">
        <v>57.724400000000003</v>
      </c>
      <c r="Y114" s="12">
        <v>19.366691695167621</v>
      </c>
      <c r="Z114" s="12">
        <v>256.03109999999998</v>
      </c>
      <c r="AA114" s="12">
        <v>53.545900000000003</v>
      </c>
      <c r="AB114" s="12">
        <v>20.913826484360694</v>
      </c>
      <c r="AC114" s="12">
        <v>453.34710000000001</v>
      </c>
      <c r="AD114" s="12">
        <v>67.062700000000007</v>
      </c>
      <c r="AE114" s="12">
        <v>14.792793424729089</v>
      </c>
      <c r="AF114" s="12">
        <v>415.4144</v>
      </c>
      <c r="AG114" s="12">
        <v>67.352000000000004</v>
      </c>
      <c r="AH114" s="12">
        <v>16.213207823320523</v>
      </c>
      <c r="AI114" s="12">
        <v>349.77719999999999</v>
      </c>
      <c r="AJ114" s="12">
        <v>45.6008</v>
      </c>
      <c r="AK114" s="12">
        <v>13.037099044763353</v>
      </c>
      <c r="AL114" s="12">
        <v>391.35520000000002</v>
      </c>
      <c r="AM114" s="12">
        <v>43.097900000000003</v>
      </c>
      <c r="AN114" s="12">
        <v>11.012476645257301</v>
      </c>
      <c r="AO114" s="12">
        <v>456.45080000000002</v>
      </c>
      <c r="AP114" s="12">
        <v>54.386099999999999</v>
      </c>
      <c r="AQ114" s="12">
        <v>11.914997191373089</v>
      </c>
      <c r="AR114" s="12">
        <v>472.90750000000003</v>
      </c>
      <c r="AS114" s="12">
        <v>63.687899999999999</v>
      </c>
      <c r="AT114" s="12">
        <v>13.467305974212715</v>
      </c>
      <c r="AU114" s="12">
        <v>435.56619999999998</v>
      </c>
      <c r="AV114" s="12">
        <v>55.459699999999998</v>
      </c>
      <c r="AW114" s="12">
        <v>12.732783214124513</v>
      </c>
      <c r="AX114" s="12">
        <v>631.98209999999995</v>
      </c>
      <c r="AY114" s="12">
        <v>98.837999999999994</v>
      </c>
      <c r="AZ114" s="12">
        <v>15.639367001059048</v>
      </c>
      <c r="BA114" s="12">
        <v>530.16</v>
      </c>
      <c r="BB114" s="12">
        <v>83.079899999999995</v>
      </c>
      <c r="BC114" s="12">
        <v>15.67072204617474</v>
      </c>
      <c r="BD114" s="12">
        <v>525.11410000000001</v>
      </c>
      <c r="BE114" s="12">
        <v>78.372</v>
      </c>
      <c r="BF114" s="12">
        <v>14.924756352952626</v>
      </c>
      <c r="BG114" s="12">
        <v>458.27229999999997</v>
      </c>
      <c r="BH114" s="12">
        <v>69.954099999999997</v>
      </c>
      <c r="BI114" s="12">
        <v>15.264745436283189</v>
      </c>
      <c r="BJ114" s="12">
        <v>510.04469999999998</v>
      </c>
      <c r="BK114" s="12">
        <v>82.996899999999997</v>
      </c>
      <c r="BL114" s="12">
        <v>16.272475726147139</v>
      </c>
      <c r="BM114" s="12">
        <v>505.64460000000003</v>
      </c>
      <c r="BN114" s="51">
        <v>85.012299999999996</v>
      </c>
      <c r="BO114" s="51">
        <v>16.812658535263701</v>
      </c>
      <c r="BP114" s="51">
        <v>74.434200000000004</v>
      </c>
      <c r="BQ114" s="51">
        <v>63.776399999999995</v>
      </c>
      <c r="BR114" s="51">
        <v>65.122799999999998</v>
      </c>
      <c r="BS114" s="51">
        <v>57.3001</v>
      </c>
      <c r="BT114" s="12">
        <v>74.972300000000004</v>
      </c>
      <c r="BU114" s="12">
        <v>76.060599999999994</v>
      </c>
      <c r="BV114" s="12">
        <v>113.49419999999999</v>
      </c>
      <c r="BW114" s="81">
        <v>93.271299999999997</v>
      </c>
      <c r="BX114" s="13">
        <v>85.569100000000006</v>
      </c>
      <c r="BY114" s="109">
        <v>132.42060000000001</v>
      </c>
      <c r="BZ114" s="13">
        <v>66.855000000000004</v>
      </c>
      <c r="CA114" s="13">
        <v>64.284499999999994</v>
      </c>
      <c r="CB114" s="13">
        <v>95.381999999999991</v>
      </c>
      <c r="CC114" s="12">
        <v>82.500200000000007</v>
      </c>
      <c r="CD114" s="12">
        <v>75.972499999999997</v>
      </c>
      <c r="CE114" s="81">
        <v>198.97030000000001</v>
      </c>
      <c r="CF114" s="12">
        <v>116.1054</v>
      </c>
      <c r="CG114" s="12">
        <v>74.689799999999991</v>
      </c>
      <c r="CH114" s="12">
        <v>180.7379</v>
      </c>
      <c r="CI114" s="13">
        <v>145.99189999999999</v>
      </c>
      <c r="CJ114" s="13">
        <f>108.112+1.8827</f>
        <v>109.99469999999999</v>
      </c>
      <c r="CK114" s="13">
        <v>133.55349999999999</v>
      </c>
      <c r="CL114" s="13">
        <v>142.55350000000001</v>
      </c>
      <c r="CM114" s="13">
        <f>174.5613+23.36</f>
        <v>197.92129999999997</v>
      </c>
      <c r="CN114" s="13">
        <f>121.7354+6.4787</f>
        <v>128.2141</v>
      </c>
      <c r="CO114" s="13">
        <f>223.254+19.04</f>
        <v>242.29399999999998</v>
      </c>
      <c r="CP114" s="13">
        <f>172.9673+15.228</f>
        <v>188.1953</v>
      </c>
      <c r="CQ114" s="13">
        <f>231.683+11.1229</f>
        <v>242.80589999999998</v>
      </c>
    </row>
    <row r="115" spans="1:95" ht="15.75" x14ac:dyDescent="0.25">
      <c r="A115" s="19" t="s">
        <v>155</v>
      </c>
      <c r="B115" s="20">
        <v>229.26560000000001</v>
      </c>
      <c r="C115" s="20">
        <v>0</v>
      </c>
      <c r="D115" s="20">
        <v>0</v>
      </c>
      <c r="E115" s="20">
        <v>175.44390000000001</v>
      </c>
      <c r="F115" s="20">
        <v>0</v>
      </c>
      <c r="G115" s="20">
        <v>0</v>
      </c>
      <c r="H115" s="20">
        <v>136.88140000000001</v>
      </c>
      <c r="I115" s="20">
        <v>0</v>
      </c>
      <c r="J115" s="20">
        <v>0</v>
      </c>
      <c r="K115" s="20">
        <v>134.30340000000001</v>
      </c>
      <c r="L115" s="20">
        <v>0</v>
      </c>
      <c r="M115" s="20">
        <v>0</v>
      </c>
      <c r="N115" s="20">
        <v>325.37010000000004</v>
      </c>
      <c r="O115" s="20">
        <v>49.994100000000003</v>
      </c>
      <c r="P115" s="20">
        <v>15.365302466329881</v>
      </c>
      <c r="Q115" s="20">
        <v>183.2157</v>
      </c>
      <c r="R115" s="20">
        <v>30.393899999999999</v>
      </c>
      <c r="S115" s="20">
        <v>16.589135101413252</v>
      </c>
      <c r="T115" s="20">
        <v>440.13619999999997</v>
      </c>
      <c r="U115" s="20">
        <v>83.460999999999999</v>
      </c>
      <c r="V115" s="20">
        <v>18.962539323055001</v>
      </c>
      <c r="W115" s="20">
        <v>368.51220000000001</v>
      </c>
      <c r="X115" s="20">
        <v>80.124399999999994</v>
      </c>
      <c r="Y115" s="20">
        <v>21.742672291446521</v>
      </c>
      <c r="Z115" s="20">
        <v>306.04390000000001</v>
      </c>
      <c r="AA115" s="20">
        <v>73.570099999999996</v>
      </c>
      <c r="AB115" s="20">
        <v>24.03906759781848</v>
      </c>
      <c r="AC115" s="20">
        <v>534.14710000000002</v>
      </c>
      <c r="AD115" s="20">
        <v>82.362700000000004</v>
      </c>
      <c r="AE115" s="20">
        <v>15.419479016173634</v>
      </c>
      <c r="AF115" s="20">
        <v>471.93439999999998</v>
      </c>
      <c r="AG115" s="20">
        <v>78.152000000000001</v>
      </c>
      <c r="AH115" s="20">
        <v>16.559928668052169</v>
      </c>
      <c r="AI115" s="20">
        <v>379.1481</v>
      </c>
      <c r="AJ115" s="20">
        <v>51.869799999999998</v>
      </c>
      <c r="AK115" s="20">
        <v>13.680617151978341</v>
      </c>
      <c r="AL115" s="20">
        <v>458.00830000000002</v>
      </c>
      <c r="AM115" s="20">
        <v>68.197900000000004</v>
      </c>
      <c r="AN115" s="20">
        <v>14.890101336591499</v>
      </c>
      <c r="AO115" s="20">
        <v>525.13390000000004</v>
      </c>
      <c r="AP115" s="20">
        <v>79.486099999999993</v>
      </c>
      <c r="AQ115" s="20">
        <v>15.136349034027319</v>
      </c>
      <c r="AR115" s="20">
        <v>522.37020000000007</v>
      </c>
      <c r="AS115" s="20">
        <v>79.0779</v>
      </c>
      <c r="AT115" s="20">
        <v>15.13828698497732</v>
      </c>
      <c r="AU115" s="20">
        <v>476.16179999999997</v>
      </c>
      <c r="AV115" s="20">
        <v>70.704300000000003</v>
      </c>
      <c r="AW115" s="20">
        <v>14.848797194567059</v>
      </c>
      <c r="AX115" s="20">
        <v>683.12249999999995</v>
      </c>
      <c r="AY115" s="20">
        <v>120.38799999999999</v>
      </c>
      <c r="AZ115" s="20">
        <v>17.623193497505937</v>
      </c>
      <c r="BA115" s="20">
        <v>573.23770000000002</v>
      </c>
      <c r="BB115" s="20">
        <v>99.752399999999994</v>
      </c>
      <c r="BC115" s="20">
        <v>17.401577042124057</v>
      </c>
      <c r="BD115" s="20">
        <v>554.03920000000005</v>
      </c>
      <c r="BE115" s="20">
        <v>94.515000000000001</v>
      </c>
      <c r="BF115" s="20">
        <v>17.059262232708441</v>
      </c>
      <c r="BG115" s="20">
        <v>515.89300000000003</v>
      </c>
      <c r="BH115" s="20">
        <v>91.071599999999989</v>
      </c>
      <c r="BI115" s="20">
        <v>17.653195526979427</v>
      </c>
      <c r="BJ115" s="20">
        <v>551.35539999999992</v>
      </c>
      <c r="BK115" s="20">
        <v>99.412899999999993</v>
      </c>
      <c r="BL115" s="20">
        <v>18.030638676976775</v>
      </c>
      <c r="BM115" s="20">
        <v>511.44140000000004</v>
      </c>
      <c r="BN115" s="20">
        <v>85.39439999999999</v>
      </c>
      <c r="BO115" s="20">
        <v>16.696810230849511</v>
      </c>
      <c r="BP115" s="20">
        <v>77.134200000000007</v>
      </c>
      <c r="BQ115" s="20">
        <v>66.476399999999998</v>
      </c>
      <c r="BR115" s="20">
        <v>65.757599999999996</v>
      </c>
      <c r="BS115" s="20">
        <v>57.300200000000004</v>
      </c>
      <c r="BT115" s="20">
        <v>76.86630000000001</v>
      </c>
      <c r="BU115" s="20">
        <v>77.485899999999987</v>
      </c>
      <c r="BV115" s="20">
        <v>113.4943</v>
      </c>
      <c r="BW115" s="89">
        <v>93.46629999999999</v>
      </c>
      <c r="BX115" s="89">
        <v>85.615400000000008</v>
      </c>
      <c r="BY115" s="89">
        <v>132.42070000000001</v>
      </c>
      <c r="BZ115" s="89">
        <v>67.003600000000006</v>
      </c>
      <c r="CA115" s="89">
        <v>64.284499999999994</v>
      </c>
      <c r="CB115" s="89">
        <v>95.382099999999994</v>
      </c>
      <c r="CC115" s="89">
        <v>82.648800000000008</v>
      </c>
      <c r="CD115" s="89">
        <v>75.972499999999997</v>
      </c>
      <c r="CE115" s="89">
        <v>198.97040000000001</v>
      </c>
      <c r="CF115" s="20">
        <v>116.254</v>
      </c>
      <c r="CG115" s="20">
        <v>74.689799999999991</v>
      </c>
      <c r="CH115" s="20">
        <v>180.738</v>
      </c>
      <c r="CI115" s="20">
        <v>145.99189999999999</v>
      </c>
      <c r="CJ115" s="20">
        <f>SUM(CJ113:CJ114)</f>
        <v>109.99469999999999</v>
      </c>
      <c r="CK115" s="20">
        <v>133.55359999999999</v>
      </c>
      <c r="CL115" s="20">
        <v>142.55360000000002</v>
      </c>
      <c r="CM115" s="21">
        <f>SUM(CM113:CM114)</f>
        <v>197.92129999999997</v>
      </c>
      <c r="CN115" s="21">
        <f>SUM(CN113:CN114)</f>
        <v>128.2141</v>
      </c>
      <c r="CO115" s="21">
        <f>SUM(CO113:CO114)</f>
        <v>242.29409999999999</v>
      </c>
      <c r="CP115" s="21">
        <f>SUM(CP113:CP114)</f>
        <v>188.1953</v>
      </c>
      <c r="CQ115" s="21">
        <f>SUM(CQ113:CQ114)</f>
        <v>242.80599999999998</v>
      </c>
    </row>
    <row r="116" spans="1:95" ht="15.75" x14ac:dyDescent="0.25">
      <c r="A116" s="16" t="s">
        <v>156</v>
      </c>
      <c r="B116" s="12">
        <v>0.1258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0.1336</v>
      </c>
      <c r="I116" s="12">
        <v>0</v>
      </c>
      <c r="J116" s="12">
        <v>0</v>
      </c>
      <c r="K116" s="12">
        <v>0.1784</v>
      </c>
      <c r="L116" s="12">
        <v>0</v>
      </c>
      <c r="M116" s="12">
        <v>0</v>
      </c>
      <c r="N116" s="12">
        <v>0.24990000000000001</v>
      </c>
      <c r="O116" s="12">
        <v>0</v>
      </c>
      <c r="P116" s="12">
        <v>0</v>
      </c>
      <c r="Q116" s="12">
        <v>0.2417</v>
      </c>
      <c r="R116" s="12">
        <v>0</v>
      </c>
      <c r="S116" s="12">
        <v>0</v>
      </c>
      <c r="T116" s="12">
        <v>3.8509000000000002</v>
      </c>
      <c r="U116" s="12">
        <v>0</v>
      </c>
      <c r="V116" s="12">
        <v>0</v>
      </c>
      <c r="W116" s="12">
        <v>2.5508999999999999</v>
      </c>
      <c r="X116" s="12">
        <v>0</v>
      </c>
      <c r="Y116" s="12">
        <v>0</v>
      </c>
      <c r="Z116" s="12">
        <v>2.1191</v>
      </c>
      <c r="AA116" s="12">
        <v>0</v>
      </c>
      <c r="AB116" s="12">
        <v>0</v>
      </c>
      <c r="AC116" s="12">
        <v>14.4757</v>
      </c>
      <c r="AD116" s="12">
        <v>1.1910000000000001</v>
      </c>
      <c r="AE116" s="12">
        <v>8.2275813950275296</v>
      </c>
      <c r="AF116" s="12">
        <v>7.7144000000000004</v>
      </c>
      <c r="AG116" s="12">
        <v>1.1432</v>
      </c>
      <c r="AH116" s="12">
        <v>14.819039717930105</v>
      </c>
      <c r="AI116" s="12">
        <v>4.7055999999999996</v>
      </c>
      <c r="AJ116" s="12">
        <v>0.26090000000000002</v>
      </c>
      <c r="AK116" s="12">
        <v>5.5444576674600485</v>
      </c>
      <c r="AL116" s="12">
        <v>32.456200000000003</v>
      </c>
      <c r="AM116" s="12">
        <v>4.3486000000000002</v>
      </c>
      <c r="AN116" s="12">
        <v>13.398364565167824</v>
      </c>
      <c r="AO116" s="12">
        <v>22.976500000000001</v>
      </c>
      <c r="AP116" s="12">
        <v>2.8319000000000001</v>
      </c>
      <c r="AQ116" s="12">
        <v>12.325201836659193</v>
      </c>
      <c r="AR116" s="12">
        <v>15.660399999999999</v>
      </c>
      <c r="AS116" s="12">
        <v>1.0223</v>
      </c>
      <c r="AT116" s="12">
        <v>6.5279303210645967</v>
      </c>
      <c r="AU116" s="12">
        <v>12.714499999999999</v>
      </c>
      <c r="AV116" s="12">
        <v>0.875</v>
      </c>
      <c r="AW116" s="12">
        <v>6.881906484722168</v>
      </c>
      <c r="AX116" s="12">
        <v>18.529499999999999</v>
      </c>
      <c r="AY116" s="12">
        <v>1.1625000000000001</v>
      </c>
      <c r="AZ116" s="12">
        <v>6.2737796486683397</v>
      </c>
      <c r="BA116" s="12">
        <v>18.965199999999999</v>
      </c>
      <c r="BB116" s="12">
        <v>1.2745</v>
      </c>
      <c r="BC116" s="12">
        <v>6.7202033197646216</v>
      </c>
      <c r="BD116" s="12">
        <v>13.9139</v>
      </c>
      <c r="BE116" s="12">
        <v>1.1632</v>
      </c>
      <c r="BF116" s="12">
        <v>8.3599853384026055</v>
      </c>
      <c r="BG116" s="12">
        <v>17.789200000000001</v>
      </c>
      <c r="BH116" s="12">
        <v>2.9708999999999999</v>
      </c>
      <c r="BI116" s="12">
        <v>16.700582375823529</v>
      </c>
      <c r="BJ116" s="12">
        <v>19.340399999999999</v>
      </c>
      <c r="BK116" s="51">
        <v>2.4386999999999999</v>
      </c>
      <c r="BL116" s="51">
        <v>12.609356580008688</v>
      </c>
      <c r="BM116" s="51">
        <v>18.129100000000001</v>
      </c>
      <c r="BN116" s="51">
        <v>2.1385999999999998</v>
      </c>
      <c r="BO116" s="51">
        <v>11.796503963241417</v>
      </c>
      <c r="BP116" s="51">
        <v>2.5518000000000001</v>
      </c>
      <c r="BQ116" s="51">
        <v>2.8338999999999999</v>
      </c>
      <c r="BR116" s="51">
        <v>2.6474000000000002</v>
      </c>
      <c r="BS116" s="51">
        <v>3.5638999999999998</v>
      </c>
      <c r="BT116" s="12">
        <v>2.9319000000000002</v>
      </c>
      <c r="BU116" s="12">
        <v>2.8902000000000001</v>
      </c>
      <c r="BV116" s="12">
        <v>3.2324999999999999</v>
      </c>
      <c r="BW116" s="81">
        <v>3.1208999999999998</v>
      </c>
      <c r="BX116" s="13">
        <v>2.8050999999999999</v>
      </c>
      <c r="BY116" s="109">
        <v>3.4218999999999999</v>
      </c>
      <c r="BZ116" s="13">
        <v>3.6141999999999999</v>
      </c>
      <c r="CA116" s="13">
        <v>3.5019999999999998</v>
      </c>
      <c r="CB116" s="13">
        <v>4.0666000000000002</v>
      </c>
      <c r="CC116" s="12">
        <v>3.6158999999999999</v>
      </c>
      <c r="CD116" s="12">
        <v>3.4967000000000001</v>
      </c>
      <c r="CE116" s="81">
        <v>4.0162000000000004</v>
      </c>
      <c r="CF116" s="12">
        <v>3.6208999999999998</v>
      </c>
      <c r="CG116" s="12">
        <v>3.4407000000000001</v>
      </c>
      <c r="CH116" s="12">
        <v>4.0162000000000004</v>
      </c>
      <c r="CI116" s="13">
        <v>4.0209000000000001</v>
      </c>
      <c r="CJ116" s="13">
        <v>3.8986000000000001</v>
      </c>
      <c r="CK116" s="13">
        <v>4.4161999999999999</v>
      </c>
      <c r="CL116" s="13">
        <v>4.4161999999999999</v>
      </c>
      <c r="CM116" s="13">
        <v>3.7206999999999999</v>
      </c>
      <c r="CN116" s="13">
        <v>3.6701999999999999</v>
      </c>
      <c r="CO116" s="13">
        <v>4.0910000000000002</v>
      </c>
      <c r="CP116" s="13">
        <v>4.3307000000000002</v>
      </c>
      <c r="CQ116" s="13">
        <v>4.7809999999999997</v>
      </c>
    </row>
    <row r="117" spans="1:95" ht="15.75" x14ac:dyDescent="0.25">
      <c r="A117" s="16" t="s">
        <v>157</v>
      </c>
      <c r="B117" s="12">
        <v>4.8452999999999999</v>
      </c>
      <c r="C117" s="12">
        <v>0</v>
      </c>
      <c r="D117" s="12">
        <v>0</v>
      </c>
      <c r="E117" s="12">
        <v>2.8813</v>
      </c>
      <c r="F117" s="12">
        <v>0</v>
      </c>
      <c r="G117" s="12">
        <v>0</v>
      </c>
      <c r="H117" s="12">
        <v>2.8010000000000002</v>
      </c>
      <c r="I117" s="12">
        <v>0</v>
      </c>
      <c r="J117" s="12">
        <v>0</v>
      </c>
      <c r="K117" s="12">
        <v>2.1692999999999998</v>
      </c>
      <c r="L117" s="12">
        <v>0</v>
      </c>
      <c r="M117" s="12">
        <v>0</v>
      </c>
      <c r="N117" s="12">
        <v>2.7071999999999998</v>
      </c>
      <c r="O117" s="12">
        <v>1E-4</v>
      </c>
      <c r="P117" s="12">
        <v>3.6938534278959816E-3</v>
      </c>
      <c r="Q117" s="12">
        <v>1.1910000000000001</v>
      </c>
      <c r="R117" s="12">
        <v>0</v>
      </c>
      <c r="S117" s="12">
        <v>0</v>
      </c>
      <c r="T117" s="12">
        <v>5.5818000000000003</v>
      </c>
      <c r="U117" s="12">
        <v>1E-4</v>
      </c>
      <c r="V117" s="12">
        <v>1.7915367802500983E-3</v>
      </c>
      <c r="W117" s="12">
        <v>6.5622999999999996</v>
      </c>
      <c r="X117" s="12">
        <v>1E-4</v>
      </c>
      <c r="Y117" s="12">
        <v>1.5238559651341757E-3</v>
      </c>
      <c r="Z117" s="12">
        <v>3.5453999999999999</v>
      </c>
      <c r="AA117" s="12">
        <v>0</v>
      </c>
      <c r="AB117" s="12">
        <v>0</v>
      </c>
      <c r="AC117" s="12">
        <v>7.2507000000000001</v>
      </c>
      <c r="AD117" s="12">
        <v>1E-4</v>
      </c>
      <c r="AE117" s="12">
        <v>1.3791771828926861E-3</v>
      </c>
      <c r="AF117" s="12">
        <v>10.218400000000001</v>
      </c>
      <c r="AG117" s="12">
        <v>1E-4</v>
      </c>
      <c r="AH117" s="12">
        <v>9.7862679088702733E-4</v>
      </c>
      <c r="AI117" s="12">
        <v>7.6768000000000001</v>
      </c>
      <c r="AJ117" s="12">
        <v>0</v>
      </c>
      <c r="AK117" s="12">
        <v>0</v>
      </c>
      <c r="AL117" s="12">
        <v>17.756599999999999</v>
      </c>
      <c r="AM117" s="12">
        <v>1E-4</v>
      </c>
      <c r="AN117" s="12">
        <v>5.6317087730759277E-4</v>
      </c>
      <c r="AO117" s="12">
        <v>18.256599999999999</v>
      </c>
      <c r="AP117" s="12">
        <v>1E-4</v>
      </c>
      <c r="AQ117" s="12">
        <v>5.4774711611143374E-4</v>
      </c>
      <c r="AR117" s="12">
        <v>8.6129999999999995</v>
      </c>
      <c r="AS117" s="12">
        <v>1E-4</v>
      </c>
      <c r="AT117" s="12">
        <v>1.1610356437942646E-3</v>
      </c>
      <c r="AU117" s="12">
        <v>8.1730999999999998</v>
      </c>
      <c r="AV117" s="12">
        <v>0</v>
      </c>
      <c r="AW117" s="12">
        <v>0</v>
      </c>
      <c r="AX117" s="12">
        <v>19.325800000000001</v>
      </c>
      <c r="AY117" s="12">
        <v>1E-4</v>
      </c>
      <c r="AZ117" s="12">
        <v>5.1744300365314758E-4</v>
      </c>
      <c r="BA117" s="12">
        <v>17.989599999999999</v>
      </c>
      <c r="BB117" s="12">
        <v>1E-4</v>
      </c>
      <c r="BC117" s="12">
        <v>5.5587672877662657E-4</v>
      </c>
      <c r="BD117" s="12">
        <v>17.891400000000001</v>
      </c>
      <c r="BE117" s="12">
        <v>0</v>
      </c>
      <c r="BF117" s="12">
        <v>0</v>
      </c>
      <c r="BG117" s="12">
        <v>9.5039999999999996</v>
      </c>
      <c r="BH117" s="12">
        <v>26.5001</v>
      </c>
      <c r="BI117" s="12">
        <v>26.5001</v>
      </c>
      <c r="BJ117" s="12">
        <v>5.9522000000000004</v>
      </c>
      <c r="BK117" s="51">
        <v>16.5001</v>
      </c>
      <c r="BL117" s="51">
        <v>277.21010718725847</v>
      </c>
      <c r="BM117" s="51">
        <v>5.9485999999999999</v>
      </c>
      <c r="BN117" s="51">
        <v>0.9889</v>
      </c>
      <c r="BO117" s="51">
        <v>16.624079615371684</v>
      </c>
      <c r="BP117" s="51">
        <v>51.650199999999998</v>
      </c>
      <c r="BQ117" s="51">
        <v>15</v>
      </c>
      <c r="BR117" s="51">
        <v>7.4821</v>
      </c>
      <c r="BS117" s="51">
        <v>57.950299999999999</v>
      </c>
      <c r="BT117" s="12">
        <v>47.6</v>
      </c>
      <c r="BU117" s="12">
        <v>29.497699999999998</v>
      </c>
      <c r="BV117" s="12">
        <v>6.0110000000000001</v>
      </c>
      <c r="BW117" s="98">
        <v>10</v>
      </c>
      <c r="BX117" s="13">
        <v>2.4390999999999998</v>
      </c>
      <c r="BY117" s="109">
        <v>2.9500999999999999</v>
      </c>
      <c r="BZ117" s="13">
        <v>2.3210000000000002</v>
      </c>
      <c r="CA117" s="13">
        <v>0</v>
      </c>
      <c r="CB117" s="13">
        <v>2.9500999999999999</v>
      </c>
      <c r="CC117" s="12">
        <v>4</v>
      </c>
      <c r="CD117" s="12">
        <v>3.8805999999999998</v>
      </c>
      <c r="CE117" s="81">
        <v>8.9499999999999993</v>
      </c>
      <c r="CF117" s="12">
        <v>4</v>
      </c>
      <c r="CG117" s="12">
        <v>2.7504</v>
      </c>
      <c r="CH117" s="12">
        <v>1.0002</v>
      </c>
      <c r="CI117" s="12">
        <v>2</v>
      </c>
      <c r="CJ117" s="12">
        <v>1.9996</v>
      </c>
      <c r="CK117" s="12">
        <v>2.9999999999999997E-4</v>
      </c>
      <c r="CL117" s="13">
        <v>2.9999999999999997E-4</v>
      </c>
      <c r="CM117" s="13">
        <v>0</v>
      </c>
      <c r="CN117" s="13">
        <v>0</v>
      </c>
      <c r="CO117" s="13">
        <v>1.6503000000000001</v>
      </c>
      <c r="CP117" s="13">
        <v>1.3015000000000001</v>
      </c>
      <c r="CQ117" s="13">
        <v>0.45040000000000002</v>
      </c>
    </row>
    <row r="118" spans="1:95" ht="15.75" x14ac:dyDescent="0.25">
      <c r="A118" s="19" t="s">
        <v>158</v>
      </c>
      <c r="B118" s="20">
        <v>4.9710999999999999</v>
      </c>
      <c r="C118" s="20">
        <v>0</v>
      </c>
      <c r="D118" s="20">
        <v>0</v>
      </c>
      <c r="E118" s="20">
        <v>2.8813</v>
      </c>
      <c r="F118" s="20">
        <v>0</v>
      </c>
      <c r="G118" s="20">
        <v>0</v>
      </c>
      <c r="H118" s="20">
        <v>2.9346000000000001</v>
      </c>
      <c r="I118" s="20">
        <v>0</v>
      </c>
      <c r="J118" s="20">
        <v>0</v>
      </c>
      <c r="K118" s="20">
        <v>2.3476999999999997</v>
      </c>
      <c r="L118" s="20">
        <v>0</v>
      </c>
      <c r="M118" s="20">
        <v>0</v>
      </c>
      <c r="N118" s="20">
        <v>2.9570999999999996</v>
      </c>
      <c r="O118" s="20">
        <v>1E-4</v>
      </c>
      <c r="P118" s="20">
        <v>3.3816915220993542E-3</v>
      </c>
      <c r="Q118" s="20">
        <v>1.4327000000000001</v>
      </c>
      <c r="R118" s="20">
        <v>0</v>
      </c>
      <c r="S118" s="20">
        <v>0</v>
      </c>
      <c r="T118" s="20">
        <v>9.4327000000000005</v>
      </c>
      <c r="U118" s="20">
        <v>1E-4</v>
      </c>
      <c r="V118" s="20">
        <v>1.0601418469791258E-3</v>
      </c>
      <c r="W118" s="20">
        <v>9.1132000000000009</v>
      </c>
      <c r="X118" s="20">
        <v>1E-4</v>
      </c>
      <c r="Y118" s="20">
        <v>1.097309397357679E-3</v>
      </c>
      <c r="Z118" s="20">
        <v>5.6645000000000003</v>
      </c>
      <c r="AA118" s="20">
        <v>0</v>
      </c>
      <c r="AB118" s="20">
        <v>0</v>
      </c>
      <c r="AC118" s="20">
        <v>21.726400000000002</v>
      </c>
      <c r="AD118" s="20">
        <v>1.1911</v>
      </c>
      <c r="AE118" s="20">
        <v>5.4822704175565207</v>
      </c>
      <c r="AF118" s="20">
        <v>17.9328</v>
      </c>
      <c r="AG118" s="20">
        <v>1.1433</v>
      </c>
      <c r="AH118" s="20">
        <v>6.3754684154175578</v>
      </c>
      <c r="AI118" s="20">
        <v>12.382400000000001</v>
      </c>
      <c r="AJ118" s="20">
        <v>0.26090000000000002</v>
      </c>
      <c r="AK118" s="20">
        <v>2.1070228711719858</v>
      </c>
      <c r="AL118" s="20">
        <v>50.212800000000001</v>
      </c>
      <c r="AM118" s="20">
        <v>4.3487</v>
      </c>
      <c r="AN118" s="20">
        <v>8.660540738616449</v>
      </c>
      <c r="AO118" s="20">
        <v>41.2331</v>
      </c>
      <c r="AP118" s="20">
        <v>2.8319999999999999</v>
      </c>
      <c r="AQ118" s="20">
        <v>6.8682684542273069</v>
      </c>
      <c r="AR118" s="20">
        <v>24.273399999999999</v>
      </c>
      <c r="AS118" s="20">
        <v>1.0224</v>
      </c>
      <c r="AT118" s="20">
        <v>4.2120180938805447</v>
      </c>
      <c r="AU118" s="20">
        <v>20.887599999999999</v>
      </c>
      <c r="AV118" s="20">
        <v>0.875</v>
      </c>
      <c r="AW118" s="20">
        <v>4.1890882628928168</v>
      </c>
      <c r="AX118" s="20">
        <v>37.8553</v>
      </c>
      <c r="AY118" s="20">
        <v>1.1626000000000001</v>
      </c>
      <c r="AZ118" s="20">
        <v>3.0711683700829213</v>
      </c>
      <c r="BA118" s="20">
        <v>36.954799999999999</v>
      </c>
      <c r="BB118" s="20">
        <v>1.2746</v>
      </c>
      <c r="BC118" s="20">
        <v>3.4490783335317743</v>
      </c>
      <c r="BD118" s="20">
        <v>31.805300000000003</v>
      </c>
      <c r="BE118" s="20">
        <v>1.1632</v>
      </c>
      <c r="BF118" s="20">
        <v>3.6572520932045918</v>
      </c>
      <c r="BG118" s="20">
        <v>27.293199999999999</v>
      </c>
      <c r="BH118" s="20">
        <v>29.471</v>
      </c>
      <c r="BI118" s="20">
        <v>107.97927688948164</v>
      </c>
      <c r="BJ118" s="20">
        <v>25.2926</v>
      </c>
      <c r="BK118" s="20">
        <v>18.938800000000001</v>
      </c>
      <c r="BL118" s="20">
        <v>74.878818310493983</v>
      </c>
      <c r="BM118" s="20">
        <v>24.0777</v>
      </c>
      <c r="BN118" s="20">
        <v>3.1274999999999999</v>
      </c>
      <c r="BO118" s="20">
        <v>12.989197473180578</v>
      </c>
      <c r="BP118" s="20">
        <v>54.201999999999998</v>
      </c>
      <c r="BQ118" s="20">
        <v>17.8339</v>
      </c>
      <c r="BR118" s="20">
        <v>10.1295</v>
      </c>
      <c r="BS118" s="20">
        <v>61.514199999999995</v>
      </c>
      <c r="BT118" s="20">
        <v>50.5319</v>
      </c>
      <c r="BU118" s="20">
        <v>32.387900000000002</v>
      </c>
      <c r="BV118" s="20">
        <v>9.2435000000000009</v>
      </c>
      <c r="BW118" s="89">
        <v>13.120899999999999</v>
      </c>
      <c r="BX118" s="89">
        <v>5.2441999999999993</v>
      </c>
      <c r="BY118" s="89">
        <v>6.3719999999999999</v>
      </c>
      <c r="BZ118" s="89">
        <v>5.9352</v>
      </c>
      <c r="CA118" s="89">
        <v>3.5019999999999998</v>
      </c>
      <c r="CB118" s="89">
        <v>7.0167000000000002</v>
      </c>
      <c r="CC118" s="89">
        <v>7.6158999999999999</v>
      </c>
      <c r="CD118" s="89">
        <v>7.3773</v>
      </c>
      <c r="CE118" s="89">
        <v>12.966200000000001</v>
      </c>
      <c r="CF118" s="20">
        <v>7.6208999999999998</v>
      </c>
      <c r="CG118" s="20">
        <v>6.1911000000000005</v>
      </c>
      <c r="CH118" s="20">
        <v>5.0164000000000009</v>
      </c>
      <c r="CI118" s="20">
        <v>6.0209000000000001</v>
      </c>
      <c r="CJ118" s="20">
        <f>SUM(CJ116:CJ117)</f>
        <v>5.8982000000000001</v>
      </c>
      <c r="CK118" s="20">
        <v>4.4165000000000001</v>
      </c>
      <c r="CL118" s="20">
        <v>4.4165000000000001</v>
      </c>
      <c r="CM118" s="21">
        <f>SUM(CM116:CM117)</f>
        <v>3.7206999999999999</v>
      </c>
      <c r="CN118" s="21">
        <f>SUM(CN116:CN117)</f>
        <v>3.6701999999999999</v>
      </c>
      <c r="CO118" s="21">
        <f>SUM(CO116:CO117)</f>
        <v>5.7413000000000007</v>
      </c>
      <c r="CP118" s="21">
        <f>SUM(CP116:CP117)</f>
        <v>5.6322000000000001</v>
      </c>
      <c r="CQ118" s="21">
        <f>SUM(CQ116:CQ117)</f>
        <v>5.2313999999999998</v>
      </c>
    </row>
    <row r="119" spans="1:95" ht="15.75" x14ac:dyDescent="0.25">
      <c r="A119" s="13" t="s">
        <v>159</v>
      </c>
      <c r="B119" s="12"/>
      <c r="C119" s="12"/>
      <c r="D119" s="12"/>
      <c r="E119" s="12"/>
      <c r="F119" s="12"/>
      <c r="G119" s="12"/>
      <c r="H119" s="12">
        <v>12.401400000000001</v>
      </c>
      <c r="I119" s="12">
        <v>0</v>
      </c>
      <c r="J119" s="12">
        <v>0</v>
      </c>
      <c r="K119" s="12">
        <v>12.2622</v>
      </c>
      <c r="L119" s="12">
        <v>0</v>
      </c>
      <c r="M119" s="12">
        <v>0</v>
      </c>
      <c r="N119" s="12">
        <v>12.8795</v>
      </c>
      <c r="O119" s="12">
        <v>5.0010000000000003</v>
      </c>
      <c r="P119" s="12">
        <v>38.829147094219493</v>
      </c>
      <c r="Q119" s="12">
        <v>12.415900000000001</v>
      </c>
      <c r="R119" s="12">
        <v>4.7424999999999997</v>
      </c>
      <c r="S119" s="12">
        <v>38.196989344308498</v>
      </c>
      <c r="T119" s="12">
        <v>15.6477</v>
      </c>
      <c r="U119" s="12">
        <v>3.3483999999999998</v>
      </c>
      <c r="V119" s="12">
        <v>21.398672009304882</v>
      </c>
      <c r="W119" s="12">
        <v>14.289300000000001</v>
      </c>
      <c r="X119" s="12">
        <v>3.0038</v>
      </c>
      <c r="Y119" s="12">
        <v>21.021323647764408</v>
      </c>
      <c r="Z119" s="12">
        <v>13.2067</v>
      </c>
      <c r="AA119" s="12">
        <v>2.4765999999999999</v>
      </c>
      <c r="AB119" s="12">
        <v>18.752602845525377</v>
      </c>
      <c r="AC119" s="12">
        <v>26.4726</v>
      </c>
      <c r="AD119" s="12">
        <v>5.1224999999999996</v>
      </c>
      <c r="AE119" s="12">
        <v>19.35019605176673</v>
      </c>
      <c r="AF119" s="12">
        <v>15.5144</v>
      </c>
      <c r="AG119" s="12">
        <v>2.1324999999999998</v>
      </c>
      <c r="AH119" s="12">
        <v>13.745294693961737</v>
      </c>
      <c r="AI119" s="12">
        <v>14.200299999999999</v>
      </c>
      <c r="AJ119" s="12">
        <v>1.9716</v>
      </c>
      <c r="AK119" s="12">
        <v>13.884213713794779</v>
      </c>
      <c r="AL119" s="12">
        <v>21.258099999999999</v>
      </c>
      <c r="AM119" s="12">
        <v>4.5330000000000004</v>
      </c>
      <c r="AN119" s="12">
        <v>21.323636637328832</v>
      </c>
      <c r="AO119" s="12">
        <v>21.258099999999999</v>
      </c>
      <c r="AP119" s="12">
        <v>4.5330000000000004</v>
      </c>
      <c r="AQ119" s="12">
        <v>21.323636637328832</v>
      </c>
      <c r="AR119" s="12">
        <v>14.6927</v>
      </c>
      <c r="AS119" s="12">
        <v>1.7364999999999999</v>
      </c>
      <c r="AT119" s="12">
        <v>11.81879436727082</v>
      </c>
      <c r="AU119" s="12">
        <v>14.160500000000001</v>
      </c>
      <c r="AV119" s="12">
        <v>1.6979</v>
      </c>
      <c r="AW119" s="12">
        <v>11.99039581935666</v>
      </c>
      <c r="AX119" s="12">
        <v>16.048300000000001</v>
      </c>
      <c r="AY119" s="12">
        <v>1.8460000000000001</v>
      </c>
      <c r="AZ119" s="12">
        <v>11.5027759949652</v>
      </c>
      <c r="BA119" s="12">
        <v>14.460900000000001</v>
      </c>
      <c r="BB119" s="12">
        <v>1.7224999999999999</v>
      </c>
      <c r="BC119" s="12">
        <v>11.911430132287753</v>
      </c>
      <c r="BD119" s="12">
        <v>13.112399999999999</v>
      </c>
      <c r="BE119" s="12">
        <v>1.6887000000000001</v>
      </c>
      <c r="BF119" s="12">
        <v>12.87864921753455</v>
      </c>
      <c r="BG119" s="12">
        <v>15.231199999999999</v>
      </c>
      <c r="BH119" s="12">
        <v>1.857</v>
      </c>
      <c r="BI119" s="12">
        <v>12.19207941593571</v>
      </c>
      <c r="BJ119" s="12">
        <v>13.8847</v>
      </c>
      <c r="BK119" s="12">
        <v>1.7052</v>
      </c>
      <c r="BL119" s="12">
        <v>12.281143993028296</v>
      </c>
      <c r="BM119" s="12">
        <v>13.0039</v>
      </c>
      <c r="BN119" s="12">
        <v>1.6597</v>
      </c>
      <c r="BO119" s="12">
        <v>12.763094148678473</v>
      </c>
      <c r="BP119" s="12">
        <v>1.7847</v>
      </c>
      <c r="BQ119" s="12">
        <v>1.8593999999999999</v>
      </c>
      <c r="BR119" s="12">
        <v>1.7996000000000001</v>
      </c>
      <c r="BS119" s="12">
        <v>2.2302000000000004</v>
      </c>
      <c r="BT119" s="12">
        <v>1.8193999999999999</v>
      </c>
      <c r="BU119" s="12">
        <v>1.7603</v>
      </c>
      <c r="BV119" s="12">
        <v>1.9142999999999999</v>
      </c>
      <c r="BW119" s="81">
        <v>1.9771000000000001</v>
      </c>
      <c r="BX119" s="13">
        <v>1.7598</v>
      </c>
      <c r="BY119" s="109">
        <v>1.7972999999999999</v>
      </c>
      <c r="BZ119" s="13">
        <v>1.9016999999999999</v>
      </c>
      <c r="CA119" s="13">
        <v>1.7857000000000001</v>
      </c>
      <c r="CB119" s="13">
        <v>2.0556999999999999</v>
      </c>
      <c r="CC119" s="12">
        <v>1.9361999999999999</v>
      </c>
      <c r="CD119" s="12">
        <v>1.8160000000000001</v>
      </c>
      <c r="CE119" s="81">
        <v>2.5613000000000001</v>
      </c>
      <c r="CF119" s="12">
        <v>2.6358000000000001</v>
      </c>
      <c r="CG119" s="12">
        <v>2.6193</v>
      </c>
      <c r="CH119" s="12">
        <v>2.5830000000000002</v>
      </c>
      <c r="CI119" s="13">
        <v>2.5135000000000001</v>
      </c>
      <c r="CJ119" s="13">
        <v>2.1545999999999998</v>
      </c>
      <c r="CK119" s="13">
        <v>2.6467999999999998</v>
      </c>
      <c r="CL119" s="13">
        <v>2.6768000000000001</v>
      </c>
      <c r="CM119" s="13">
        <v>2.7877000000000001</v>
      </c>
      <c r="CN119" s="13">
        <v>2.5272000000000001</v>
      </c>
      <c r="CO119" s="13">
        <v>5.6528</v>
      </c>
      <c r="CP119" s="13">
        <v>3.2256999999999998</v>
      </c>
      <c r="CQ119" s="13">
        <v>3.4582000000000002</v>
      </c>
    </row>
    <row r="120" spans="1:95" ht="15.75" x14ac:dyDescent="0.25">
      <c r="A120" s="13" t="s">
        <v>160</v>
      </c>
      <c r="B120" s="12"/>
      <c r="C120" s="12"/>
      <c r="D120" s="12"/>
      <c r="E120" s="12"/>
      <c r="F120" s="12"/>
      <c r="G120" s="12"/>
      <c r="H120" s="12">
        <v>87.331000000000003</v>
      </c>
      <c r="I120" s="12">
        <v>0</v>
      </c>
      <c r="J120" s="12">
        <v>0</v>
      </c>
      <c r="K120" s="12">
        <v>115.41419999999999</v>
      </c>
      <c r="L120" s="12">
        <v>0</v>
      </c>
      <c r="M120" s="12">
        <v>0</v>
      </c>
      <c r="N120" s="12">
        <v>75.998999999999995</v>
      </c>
      <c r="O120" s="12">
        <v>14.2097</v>
      </c>
      <c r="P120" s="12">
        <v>18.697219700259215</v>
      </c>
      <c r="Q120" s="12">
        <v>74.813599999999994</v>
      </c>
      <c r="R120" s="12">
        <v>12.766</v>
      </c>
      <c r="S120" s="12">
        <v>17.063742421164068</v>
      </c>
      <c r="T120" s="12">
        <v>113.4021</v>
      </c>
      <c r="U120" s="12">
        <v>20.056000000000001</v>
      </c>
      <c r="V120" s="12">
        <v>17.685739505705804</v>
      </c>
      <c r="W120" s="12">
        <v>90.087299999999999</v>
      </c>
      <c r="X120" s="12">
        <v>15.7676</v>
      </c>
      <c r="Y120" s="12">
        <v>17.502578054842356</v>
      </c>
      <c r="Z120" s="12">
        <v>86.186899999999994</v>
      </c>
      <c r="AA120" s="12">
        <v>15.157500000000001</v>
      </c>
      <c r="AB120" s="12">
        <v>17.586779429356437</v>
      </c>
      <c r="AC120" s="12">
        <v>183.25399999999999</v>
      </c>
      <c r="AD120" s="12">
        <v>36.731999999999999</v>
      </c>
      <c r="AE120" s="12">
        <v>20.0443100832724</v>
      </c>
      <c r="AF120" s="12">
        <v>103.73650000000001</v>
      </c>
      <c r="AG120" s="12">
        <v>20.521999999999998</v>
      </c>
      <c r="AH120" s="12">
        <v>19.782815113291846</v>
      </c>
      <c r="AI120" s="12">
        <v>98.967199999999991</v>
      </c>
      <c r="AJ120" s="12">
        <v>20.0136</v>
      </c>
      <c r="AK120" s="12">
        <v>20.222457541488495</v>
      </c>
      <c r="AL120" s="12">
        <v>135.19120000000001</v>
      </c>
      <c r="AM120" s="12">
        <v>25.302099999999999</v>
      </c>
      <c r="AN120" s="12">
        <v>18.715789193379447</v>
      </c>
      <c r="AO120" s="12">
        <v>135.2046</v>
      </c>
      <c r="AP120" s="12">
        <v>25.302099999999999</v>
      </c>
      <c r="AQ120" s="12">
        <v>18.713934289217971</v>
      </c>
      <c r="AR120" s="12">
        <v>97.746600000000001</v>
      </c>
      <c r="AS120" s="12">
        <v>18.739999999999998</v>
      </c>
      <c r="AT120" s="12">
        <v>19.172022351672588</v>
      </c>
      <c r="AU120" s="12">
        <v>77.953599999999994</v>
      </c>
      <c r="AV120" s="12">
        <v>10.8581</v>
      </c>
      <c r="AW120" s="12">
        <v>13.928926951417257</v>
      </c>
      <c r="AX120" s="12">
        <v>129.3058</v>
      </c>
      <c r="AY120" s="12">
        <v>24.27</v>
      </c>
      <c r="AZ120" s="12">
        <v>18.769459683943023</v>
      </c>
      <c r="BA120" s="12">
        <v>125.7251</v>
      </c>
      <c r="BB120" s="12">
        <v>25.055</v>
      </c>
      <c r="BC120" s="12">
        <v>19.928399341102136</v>
      </c>
      <c r="BD120" s="12">
        <v>107.282</v>
      </c>
      <c r="BE120" s="12">
        <v>20.857500000000002</v>
      </c>
      <c r="BF120" s="12">
        <v>19.441751645196774</v>
      </c>
      <c r="BG120" s="12">
        <v>129.38300000000001</v>
      </c>
      <c r="BH120" s="12">
        <v>26.122299999999999</v>
      </c>
      <c r="BI120" s="12">
        <v>20.189901300789128</v>
      </c>
      <c r="BJ120" s="12">
        <v>148.12540000000001</v>
      </c>
      <c r="BK120" s="12">
        <v>32.059100000000001</v>
      </c>
      <c r="BL120" s="12">
        <v>21.643215815788512</v>
      </c>
      <c r="BM120" s="12">
        <v>124.43170000000001</v>
      </c>
      <c r="BN120" s="12">
        <v>26.3871</v>
      </c>
      <c r="BO120" s="12">
        <v>21.206091373821941</v>
      </c>
      <c r="BP120" s="12">
        <v>30.497800000000002</v>
      </c>
      <c r="BQ120" s="12">
        <v>29.317600000000002</v>
      </c>
      <c r="BR120" s="12">
        <v>18.7866</v>
      </c>
      <c r="BS120" s="12">
        <v>16.942799999999998</v>
      </c>
      <c r="BT120" s="12">
        <v>12.6015</v>
      </c>
      <c r="BU120" s="12">
        <v>12.4236</v>
      </c>
      <c r="BV120" s="12">
        <v>21.735100000000003</v>
      </c>
      <c r="BW120" s="81">
        <v>8.3056999999999999</v>
      </c>
      <c r="BX120" s="13">
        <v>6.8685</v>
      </c>
      <c r="BY120" s="109">
        <v>5.7317999999999998</v>
      </c>
      <c r="BZ120" s="13">
        <v>5.7628000000000004</v>
      </c>
      <c r="CA120" s="13">
        <v>5.3685999999999998</v>
      </c>
      <c r="CB120" s="13">
        <v>14.8796</v>
      </c>
      <c r="CC120" s="12">
        <v>11.686900000000001</v>
      </c>
      <c r="CD120" s="12">
        <v>9.9501999999999988</v>
      </c>
      <c r="CE120" s="81">
        <v>19.9986</v>
      </c>
      <c r="CF120" s="12">
        <v>21.331899999999997</v>
      </c>
      <c r="CG120" s="12">
        <v>7.9660000000000002</v>
      </c>
      <c r="CH120" s="12">
        <v>32.403700000000001</v>
      </c>
      <c r="CI120" s="13">
        <v>29.533200000000001</v>
      </c>
      <c r="CJ120" s="13">
        <f>24.1864+1.5194</f>
        <v>25.7058</v>
      </c>
      <c r="CK120" s="13">
        <v>32.310099999999998</v>
      </c>
      <c r="CL120" s="13">
        <v>33.210099999999997</v>
      </c>
      <c r="CM120" s="13">
        <f>27.86+0.51</f>
        <v>28.37</v>
      </c>
      <c r="CN120" s="13">
        <f>21.919+0.2745</f>
        <v>22.1935</v>
      </c>
      <c r="CO120" s="13">
        <f>41.6103+3</f>
        <v>44.610300000000002</v>
      </c>
      <c r="CP120" s="13">
        <f>39.8142+3.921</f>
        <v>43.735199999999999</v>
      </c>
      <c r="CQ120" s="13">
        <f>48.5279+10.4</f>
        <v>58.927900000000001</v>
      </c>
    </row>
    <row r="121" spans="1:95" ht="15.75" x14ac:dyDescent="0.25">
      <c r="A121" s="19" t="s">
        <v>161</v>
      </c>
      <c r="B121" s="20"/>
      <c r="C121" s="20"/>
      <c r="D121" s="20"/>
      <c r="E121" s="20"/>
      <c r="F121" s="20"/>
      <c r="G121" s="20"/>
      <c r="H121" s="20">
        <v>99.732399999999998</v>
      </c>
      <c r="I121" s="20">
        <v>0</v>
      </c>
      <c r="J121" s="20">
        <v>0</v>
      </c>
      <c r="K121" s="20">
        <v>127.6764</v>
      </c>
      <c r="L121" s="20">
        <v>0</v>
      </c>
      <c r="M121" s="20">
        <v>0</v>
      </c>
      <c r="N121" s="20">
        <v>88.878500000000003</v>
      </c>
      <c r="O121" s="20">
        <v>19.210699999999999</v>
      </c>
      <c r="P121" s="20">
        <v>21.614563702132685</v>
      </c>
      <c r="Q121" s="20">
        <v>87.229500000000002</v>
      </c>
      <c r="R121" s="20">
        <v>17.508500000000002</v>
      </c>
      <c r="S121" s="20">
        <v>20.071764712625892</v>
      </c>
      <c r="T121" s="20">
        <v>129.0498</v>
      </c>
      <c r="U121" s="20">
        <v>23.404400000000003</v>
      </c>
      <c r="V121" s="20">
        <v>18.135944418356324</v>
      </c>
      <c r="W121" s="20">
        <v>104.3766</v>
      </c>
      <c r="X121" s="20">
        <v>18.7714</v>
      </c>
      <c r="Y121" s="20">
        <v>17.984299162839182</v>
      </c>
      <c r="Z121" s="20">
        <v>99.393600000000006</v>
      </c>
      <c r="AA121" s="20">
        <v>17.6341</v>
      </c>
      <c r="AB121" s="20">
        <v>17.741685581365399</v>
      </c>
      <c r="AC121" s="20">
        <v>209.72659999999999</v>
      </c>
      <c r="AD121" s="20">
        <v>41.854500000000002</v>
      </c>
      <c r="AE121" s="20">
        <v>19.956696003272832</v>
      </c>
      <c r="AF121" s="20">
        <v>119.2509</v>
      </c>
      <c r="AG121" s="20">
        <v>22.654499999999999</v>
      </c>
      <c r="AH121" s="20">
        <v>18.997340900571817</v>
      </c>
      <c r="AI121" s="20">
        <v>113.16749999999999</v>
      </c>
      <c r="AJ121" s="20">
        <v>21.985199999999999</v>
      </c>
      <c r="AK121" s="20">
        <v>19.427132348068131</v>
      </c>
      <c r="AL121" s="20">
        <v>156.44929999999999</v>
      </c>
      <c r="AM121" s="20">
        <v>29.835100000000001</v>
      </c>
      <c r="AN121" s="20">
        <v>19.070139655466662</v>
      </c>
      <c r="AO121" s="20">
        <v>156.46270000000001</v>
      </c>
      <c r="AP121" s="20">
        <v>29.835100000000001</v>
      </c>
      <c r="AQ121" s="20">
        <v>19.068506423575716</v>
      </c>
      <c r="AR121" s="20">
        <v>112.4393</v>
      </c>
      <c r="AS121" s="20">
        <v>20.476499999999998</v>
      </c>
      <c r="AT121" s="20">
        <v>18.211159265488135</v>
      </c>
      <c r="AU121" s="20">
        <v>92.114099999999993</v>
      </c>
      <c r="AV121" s="20">
        <v>12.556000000000001</v>
      </c>
      <c r="AW121" s="20">
        <v>13.630920781943265</v>
      </c>
      <c r="AX121" s="20">
        <v>145.35410000000002</v>
      </c>
      <c r="AY121" s="20">
        <v>26.116</v>
      </c>
      <c r="AZ121" s="20">
        <v>17.967157445163224</v>
      </c>
      <c r="BA121" s="20">
        <v>140.18600000000001</v>
      </c>
      <c r="BB121" s="20">
        <v>26.7775</v>
      </c>
      <c r="BC121" s="20">
        <v>19.101408129199775</v>
      </c>
      <c r="BD121" s="20">
        <v>120.39439999999999</v>
      </c>
      <c r="BE121" s="20">
        <v>22.546200000000002</v>
      </c>
      <c r="BF121" s="20">
        <v>18.726950755184628</v>
      </c>
      <c r="BG121" s="20">
        <v>144.61420000000001</v>
      </c>
      <c r="BH121" s="20">
        <v>27.979299999999999</v>
      </c>
      <c r="BI121" s="20">
        <v>19.347546783095986</v>
      </c>
      <c r="BJ121" s="20">
        <v>162.01010000000002</v>
      </c>
      <c r="BK121" s="20">
        <v>33.764299999999999</v>
      </c>
      <c r="BL121" s="20">
        <v>20.84086115618717</v>
      </c>
      <c r="BM121" s="20">
        <v>137.43559999999999</v>
      </c>
      <c r="BN121" s="20">
        <v>28.046800000000001</v>
      </c>
      <c r="BO121" s="20">
        <v>20.407230732066513</v>
      </c>
      <c r="BP121" s="20">
        <v>32.282499999999999</v>
      </c>
      <c r="BQ121" s="20">
        <v>31.177000000000003</v>
      </c>
      <c r="BR121" s="20">
        <v>20.586200000000002</v>
      </c>
      <c r="BS121" s="20">
        <v>19.172999999999998</v>
      </c>
      <c r="BT121" s="20">
        <v>14.4209</v>
      </c>
      <c r="BU121" s="20">
        <v>14.183900000000001</v>
      </c>
      <c r="BV121" s="20">
        <v>23.649400000000004</v>
      </c>
      <c r="BW121" s="89">
        <v>10.2828</v>
      </c>
      <c r="BX121" s="89">
        <v>8.6282999999999994</v>
      </c>
      <c r="BY121" s="89">
        <v>7.5290999999999997</v>
      </c>
      <c r="BZ121" s="89">
        <v>7.6645000000000003</v>
      </c>
      <c r="CA121" s="89">
        <v>7.1543000000000001</v>
      </c>
      <c r="CB121" s="89">
        <v>16.935299999999998</v>
      </c>
      <c r="CC121" s="89">
        <v>13.623100000000001</v>
      </c>
      <c r="CD121" s="89">
        <v>11.7662</v>
      </c>
      <c r="CE121" s="89">
        <v>22.559899999999999</v>
      </c>
      <c r="CF121" s="20">
        <v>23.967699999999997</v>
      </c>
      <c r="CG121" s="20">
        <v>10.5853</v>
      </c>
      <c r="CH121" s="20">
        <v>34.986699999999999</v>
      </c>
      <c r="CI121" s="20">
        <v>32.046700000000001</v>
      </c>
      <c r="CJ121" s="20">
        <f>SUM(CJ119:CJ120)</f>
        <v>27.860399999999998</v>
      </c>
      <c r="CK121" s="20">
        <v>34.956899999999997</v>
      </c>
      <c r="CL121" s="20">
        <v>35.886899999999997</v>
      </c>
      <c r="CM121" s="21">
        <f>SUM(CM119:CM120)</f>
        <v>31.157700000000002</v>
      </c>
      <c r="CN121" s="21">
        <f>SUM(CN119:CN120)</f>
        <v>24.720700000000001</v>
      </c>
      <c r="CO121" s="21">
        <f>SUM(CO119:CO120)</f>
        <v>50.263100000000001</v>
      </c>
      <c r="CP121" s="21">
        <f>SUM(CP119:CP120)</f>
        <v>46.960899999999995</v>
      </c>
      <c r="CQ121" s="21">
        <f>SUM(CQ119:CQ120)</f>
        <v>62.386099999999999</v>
      </c>
    </row>
    <row r="122" spans="1:95" ht="15.75" x14ac:dyDescent="0.25">
      <c r="A122" s="13" t="s">
        <v>162</v>
      </c>
      <c r="B122" s="12"/>
      <c r="C122" s="12"/>
      <c r="D122" s="12"/>
      <c r="E122" s="12"/>
      <c r="F122" s="12"/>
      <c r="G122" s="12"/>
      <c r="H122" s="12">
        <v>400.98790000000002</v>
      </c>
      <c r="I122" s="12">
        <v>0</v>
      </c>
      <c r="J122" s="12">
        <v>0</v>
      </c>
      <c r="K122" s="12">
        <v>402</v>
      </c>
      <c r="L122" s="12">
        <v>0</v>
      </c>
      <c r="M122" s="12">
        <v>0</v>
      </c>
      <c r="N122" s="12">
        <v>804.94939999999997</v>
      </c>
      <c r="O122" s="12">
        <v>0.79100000000000004</v>
      </c>
      <c r="P122" s="12">
        <v>9.8267046350988041E-2</v>
      </c>
      <c r="Q122" s="12">
        <v>804.94880000000001</v>
      </c>
      <c r="R122" s="12">
        <v>0.79100000000000004</v>
      </c>
      <c r="S122" s="12">
        <v>9.8267119598165739E-2</v>
      </c>
      <c r="T122" s="12">
        <v>403.04559999999998</v>
      </c>
      <c r="U122" s="12">
        <v>0.34</v>
      </c>
      <c r="V122" s="12">
        <v>8.4357700468631849E-2</v>
      </c>
      <c r="W122" s="12">
        <v>403.04579999999999</v>
      </c>
      <c r="X122" s="12">
        <v>0.34</v>
      </c>
      <c r="Y122" s="12">
        <v>8.4357658608525399E-2</v>
      </c>
      <c r="Z122" s="12">
        <v>403.04489999999998</v>
      </c>
      <c r="AA122" s="12">
        <v>0.34</v>
      </c>
      <c r="AB122" s="12">
        <v>8.4357846979331588E-2</v>
      </c>
      <c r="AC122" s="12">
        <v>428.00049999999999</v>
      </c>
      <c r="AD122" s="12">
        <v>1.26</v>
      </c>
      <c r="AE122" s="12">
        <v>0.29439217944838847</v>
      </c>
      <c r="AF122" s="12">
        <v>551.00019999999995</v>
      </c>
      <c r="AG122" s="12">
        <v>1.26</v>
      </c>
      <c r="AH122" s="12">
        <v>0.22867505311250344</v>
      </c>
      <c r="AI122" s="12">
        <v>551</v>
      </c>
      <c r="AJ122" s="12">
        <v>1.26</v>
      </c>
      <c r="AK122" s="12">
        <v>0.22867513611615242</v>
      </c>
      <c r="AL122" s="12">
        <v>451.00069999999999</v>
      </c>
      <c r="AM122" s="12">
        <v>2.88</v>
      </c>
      <c r="AN122" s="12">
        <v>0.63857994011982688</v>
      </c>
      <c r="AO122" s="12">
        <v>472.94099999999997</v>
      </c>
      <c r="AP122" s="12">
        <v>10.778499999999999</v>
      </c>
      <c r="AQ122" s="12">
        <v>2.279036920038652</v>
      </c>
      <c r="AR122" s="12">
        <v>449.00069999999999</v>
      </c>
      <c r="AS122" s="12">
        <v>1.05</v>
      </c>
      <c r="AT122" s="12">
        <v>0.23385264210055798</v>
      </c>
      <c r="AU122" s="12">
        <v>441</v>
      </c>
      <c r="AV122" s="12">
        <v>0</v>
      </c>
      <c r="AW122" s="12">
        <v>0</v>
      </c>
      <c r="AX122" s="12">
        <v>587.2509</v>
      </c>
      <c r="AY122" s="12">
        <v>0</v>
      </c>
      <c r="AZ122" s="12">
        <v>0</v>
      </c>
      <c r="BA122" s="12">
        <v>992.93050000000005</v>
      </c>
      <c r="BB122" s="12">
        <v>0</v>
      </c>
      <c r="BC122" s="12">
        <v>0</v>
      </c>
      <c r="BD122" s="12">
        <v>870.73</v>
      </c>
      <c r="BE122" s="12">
        <v>0</v>
      </c>
      <c r="BF122" s="12">
        <v>0</v>
      </c>
      <c r="BG122" s="12">
        <v>9203.6615000000002</v>
      </c>
      <c r="BH122" s="12">
        <v>0</v>
      </c>
      <c r="BI122" s="12">
        <v>0</v>
      </c>
      <c r="BJ122" s="12">
        <v>9040.0007999999998</v>
      </c>
      <c r="BK122" s="12">
        <v>1980</v>
      </c>
      <c r="BL122" s="12">
        <v>21.90265292896877</v>
      </c>
      <c r="BM122" s="12">
        <v>9000</v>
      </c>
      <c r="BN122" s="12">
        <v>1980</v>
      </c>
      <c r="BO122" s="12">
        <v>22</v>
      </c>
      <c r="BP122" s="12">
        <v>2160</v>
      </c>
      <c r="BQ122" s="12">
        <v>2160.0002000000004</v>
      </c>
      <c r="BR122" s="12">
        <v>2160.0001000000002</v>
      </c>
      <c r="BS122" s="12">
        <v>4065.9268000000002</v>
      </c>
      <c r="BT122" s="12">
        <v>3784.181</v>
      </c>
      <c r="BU122" s="12">
        <v>3783.2534000000001</v>
      </c>
      <c r="BV122" s="12">
        <v>4775.2260000000006</v>
      </c>
      <c r="BW122" s="81">
        <v>4237.299</v>
      </c>
      <c r="BX122" s="13">
        <v>4236.7606999999998</v>
      </c>
      <c r="BY122" s="109">
        <v>3156.0444000000002</v>
      </c>
      <c r="BZ122" s="13">
        <v>3459.7391000000002</v>
      </c>
      <c r="CA122" s="13">
        <v>3458.5664999999999</v>
      </c>
      <c r="CB122" s="13">
        <v>5566.7350000000006</v>
      </c>
      <c r="CC122" s="12">
        <v>5662.9083000000001</v>
      </c>
      <c r="CD122" s="12">
        <v>5638.1864999999998</v>
      </c>
      <c r="CE122" s="81">
        <v>4295.2112999999999</v>
      </c>
      <c r="CF122" s="12">
        <v>4384.7588999999998</v>
      </c>
      <c r="CG122" s="12">
        <v>5472.4771000000001</v>
      </c>
      <c r="CH122" s="12">
        <v>4453.8878999999997</v>
      </c>
      <c r="CI122" s="13">
        <v>5985.2620999999999</v>
      </c>
      <c r="CJ122" s="13">
        <v>5489.4448000000002</v>
      </c>
      <c r="CK122" s="13">
        <v>7614.3536000000004</v>
      </c>
      <c r="CL122" s="13">
        <v>6976.7536</v>
      </c>
      <c r="CM122" s="13">
        <v>6863.8058000000001</v>
      </c>
      <c r="CN122" s="13">
        <v>6863.8047999999999</v>
      </c>
      <c r="CO122" s="13">
        <v>9404.9937000000009</v>
      </c>
      <c r="CP122" s="13">
        <f>0.0001+8622.2007</f>
        <v>8622.2007999999987</v>
      </c>
      <c r="CQ122" s="13">
        <f>0.0001+9785.6803</f>
        <v>9785.6803999999993</v>
      </c>
    </row>
    <row r="123" spans="1:95" ht="15.75" x14ac:dyDescent="0.25">
      <c r="A123" s="13" t="s">
        <v>163</v>
      </c>
      <c r="B123" s="12"/>
      <c r="C123" s="12"/>
      <c r="D123" s="12"/>
      <c r="E123" s="12"/>
      <c r="F123" s="12"/>
      <c r="G123" s="12"/>
      <c r="H123" s="12">
        <v>1540</v>
      </c>
      <c r="I123" s="12">
        <v>0</v>
      </c>
      <c r="J123" s="12">
        <v>0</v>
      </c>
      <c r="K123" s="12">
        <v>1296</v>
      </c>
      <c r="L123" s="12">
        <v>0</v>
      </c>
      <c r="M123" s="12">
        <v>0</v>
      </c>
      <c r="N123" s="12">
        <v>2458.9967000000001</v>
      </c>
      <c r="O123" s="12">
        <v>238.35239999999999</v>
      </c>
      <c r="P123" s="12">
        <v>9.69307522860848</v>
      </c>
      <c r="Q123" s="12">
        <v>2459</v>
      </c>
      <c r="R123" s="12">
        <v>238.34870000000001</v>
      </c>
      <c r="S123" s="12">
        <v>9.6929117527450188</v>
      </c>
      <c r="T123" s="12">
        <v>2543</v>
      </c>
      <c r="U123" s="12">
        <v>436.37880000000001</v>
      </c>
      <c r="V123" s="12">
        <v>17.16</v>
      </c>
      <c r="W123" s="12">
        <v>3863</v>
      </c>
      <c r="X123" s="12">
        <v>372.82940000000002</v>
      </c>
      <c r="Y123" s="12">
        <v>9.651291742169299</v>
      </c>
      <c r="Z123" s="12">
        <v>3863</v>
      </c>
      <c r="AA123" s="12">
        <v>372.82940000000002</v>
      </c>
      <c r="AB123" s="12">
        <v>9.651291742169299</v>
      </c>
      <c r="AC123" s="12">
        <v>3873</v>
      </c>
      <c r="AD123" s="12">
        <v>435.57819999999998</v>
      </c>
      <c r="AE123" s="12">
        <v>11.246532403821327</v>
      </c>
      <c r="AF123" s="12">
        <v>4686</v>
      </c>
      <c r="AG123" s="12">
        <v>527.91300000000001</v>
      </c>
      <c r="AH123" s="12">
        <v>11.265749039692702</v>
      </c>
      <c r="AI123" s="12">
        <v>3953</v>
      </c>
      <c r="AJ123" s="12">
        <v>473.46809999999999</v>
      </c>
      <c r="AK123" s="12">
        <v>11.977437389324564</v>
      </c>
      <c r="AL123" s="12">
        <v>4418.0001000000002</v>
      </c>
      <c r="AM123" s="12">
        <v>470.16</v>
      </c>
      <c r="AN123" s="12">
        <v>10.64191917967589</v>
      </c>
      <c r="AO123" s="12">
        <v>4418.0001000000002</v>
      </c>
      <c r="AP123" s="12">
        <v>470.16</v>
      </c>
      <c r="AQ123" s="12">
        <v>10.64191917967589</v>
      </c>
      <c r="AR123" s="12">
        <v>4749.2101000000002</v>
      </c>
      <c r="AS123" s="12">
        <v>949.84</v>
      </c>
      <c r="AT123" s="12">
        <v>19.999957466611132</v>
      </c>
      <c r="AU123" s="12">
        <v>4249.21</v>
      </c>
      <c r="AV123" s="12">
        <v>849.84</v>
      </c>
      <c r="AW123" s="12">
        <v>19.999952932427441</v>
      </c>
      <c r="AX123" s="12">
        <v>5759.3301000000001</v>
      </c>
      <c r="AY123" s="12">
        <v>1219.0925</v>
      </c>
      <c r="AZ123" s="12">
        <v>21.167262143908019</v>
      </c>
      <c r="BA123" s="12">
        <v>9466.3006999999998</v>
      </c>
      <c r="BB123" s="12">
        <v>1933.5996</v>
      </c>
      <c r="BC123" s="12">
        <v>20.42613753015473</v>
      </c>
      <c r="BD123" s="12">
        <v>9433.83</v>
      </c>
      <c r="BE123" s="12">
        <v>1914.3043</v>
      </c>
      <c r="BF123" s="12">
        <v>20.291910072579217</v>
      </c>
      <c r="BG123" s="12">
        <v>4165.0007999999998</v>
      </c>
      <c r="BH123" s="12">
        <v>1009.5003</v>
      </c>
      <c r="BI123" s="12">
        <v>24.237697625412221</v>
      </c>
      <c r="BJ123" s="12">
        <v>4321.8004000000001</v>
      </c>
      <c r="BK123" s="12">
        <v>1014.4453999999999</v>
      </c>
      <c r="BL123" s="12">
        <v>23.472749921537329</v>
      </c>
      <c r="BM123" s="12">
        <v>4115.7116999999998</v>
      </c>
      <c r="BN123" s="12">
        <v>958.1037</v>
      </c>
      <c r="BO123" s="12">
        <v>23.27917429201856</v>
      </c>
      <c r="BP123" s="12">
        <v>875.7002</v>
      </c>
      <c r="BQ123" s="12">
        <v>875.7002</v>
      </c>
      <c r="BR123" s="12">
        <v>794.98099999999999</v>
      </c>
      <c r="BS123" s="12">
        <v>915.7002</v>
      </c>
      <c r="BT123" s="12">
        <v>823.44719999999995</v>
      </c>
      <c r="BU123" s="12">
        <v>823.44709999999998</v>
      </c>
      <c r="BV123" s="12">
        <v>661.12860000000001</v>
      </c>
      <c r="BW123" s="81">
        <v>493.7715</v>
      </c>
      <c r="BX123" s="13">
        <v>493.77140000000003</v>
      </c>
      <c r="BY123" s="109">
        <v>716.10640000000001</v>
      </c>
      <c r="BZ123" s="13">
        <v>111.6091</v>
      </c>
      <c r="CA123" s="13">
        <v>69.773600000000002</v>
      </c>
      <c r="CB123" s="13">
        <v>173.9342</v>
      </c>
      <c r="CC123" s="12">
        <v>202.73419999999999</v>
      </c>
      <c r="CD123" s="12">
        <v>197.25919999999999</v>
      </c>
      <c r="CE123" s="81">
        <v>416.6318</v>
      </c>
      <c r="CF123" s="12">
        <v>205.1121</v>
      </c>
      <c r="CG123" s="12">
        <v>110.4084</v>
      </c>
      <c r="CH123" s="12">
        <v>262.9366</v>
      </c>
      <c r="CI123" s="13">
        <v>149.1901</v>
      </c>
      <c r="CJ123" s="13">
        <v>71.505300000000005</v>
      </c>
      <c r="CK123" s="13">
        <v>280.59370000000001</v>
      </c>
      <c r="CL123" s="13">
        <v>280.59370000000001</v>
      </c>
      <c r="CM123" s="13">
        <v>2.0000000000000001E-4</v>
      </c>
      <c r="CN123" s="13">
        <v>0</v>
      </c>
      <c r="CO123" s="13">
        <v>443.98239999999998</v>
      </c>
      <c r="CP123" s="13">
        <v>96.852699999999999</v>
      </c>
      <c r="CQ123" s="13">
        <v>89.486599999999996</v>
      </c>
    </row>
    <row r="124" spans="1:95" ht="15.75" x14ac:dyDescent="0.25">
      <c r="A124" s="19" t="s">
        <v>164</v>
      </c>
      <c r="B124" s="20"/>
      <c r="C124" s="20"/>
      <c r="D124" s="20"/>
      <c r="E124" s="20"/>
      <c r="F124" s="20"/>
      <c r="G124" s="20"/>
      <c r="H124" s="20">
        <v>1940.9879000000001</v>
      </c>
      <c r="I124" s="20">
        <v>0</v>
      </c>
      <c r="J124" s="20">
        <v>0</v>
      </c>
      <c r="K124" s="20">
        <v>1698</v>
      </c>
      <c r="L124" s="20">
        <v>0</v>
      </c>
      <c r="M124" s="20">
        <v>0</v>
      </c>
      <c r="N124" s="20">
        <v>3263.9461000000001</v>
      </c>
      <c r="O124" s="20">
        <v>239.14339999999999</v>
      </c>
      <c r="P124" s="20">
        <v>7.3268182951918224</v>
      </c>
      <c r="Q124" s="20">
        <v>3263.9488000000001</v>
      </c>
      <c r="R124" s="20">
        <v>239.1397</v>
      </c>
      <c r="S124" s="20">
        <v>7.3266988746882298</v>
      </c>
      <c r="T124" s="20">
        <v>2946.0455999999999</v>
      </c>
      <c r="U124" s="20">
        <v>436.71879999999999</v>
      </c>
      <c r="V124" s="20">
        <v>14.823898177271932</v>
      </c>
      <c r="W124" s="20">
        <v>4266.0457999999999</v>
      </c>
      <c r="X124" s="20">
        <v>373.1694</v>
      </c>
      <c r="Y124" s="20">
        <v>8.7474307003455056</v>
      </c>
      <c r="Z124" s="20">
        <v>4266.0448999999999</v>
      </c>
      <c r="AA124" s="20">
        <v>373.1694</v>
      </c>
      <c r="AB124" s="20">
        <v>8.747432545775597</v>
      </c>
      <c r="AC124" s="20">
        <v>4301.0005000000001</v>
      </c>
      <c r="AD124" s="20">
        <v>436.83819999999997</v>
      </c>
      <c r="AE124" s="20">
        <v>10.156664710920166</v>
      </c>
      <c r="AF124" s="20">
        <v>5237.0002000000004</v>
      </c>
      <c r="AG124" s="20">
        <v>529.173</v>
      </c>
      <c r="AH124" s="20">
        <v>10.104506010902959</v>
      </c>
      <c r="AI124" s="20">
        <v>4504</v>
      </c>
      <c r="AJ124" s="20">
        <v>474.72809999999998</v>
      </c>
      <c r="AK124" s="20">
        <v>10.54014431616341</v>
      </c>
      <c r="AL124" s="20">
        <v>4869.0007999999998</v>
      </c>
      <c r="AM124" s="20">
        <v>473.04</v>
      </c>
      <c r="AN124" s="20">
        <v>9.7153403630576527</v>
      </c>
      <c r="AO124" s="20">
        <v>4890.9411</v>
      </c>
      <c r="AP124" s="20">
        <v>480.93849999999998</v>
      </c>
      <c r="AQ124" s="20">
        <v>9.8332507009745012</v>
      </c>
      <c r="AR124" s="20">
        <v>5198.2107999999998</v>
      </c>
      <c r="AS124" s="20">
        <v>950.89</v>
      </c>
      <c r="AT124" s="20">
        <v>18.292640229211173</v>
      </c>
      <c r="AU124" s="20">
        <v>4690.21</v>
      </c>
      <c r="AV124" s="20">
        <v>849.84</v>
      </c>
      <c r="AW124" s="20">
        <v>18.119444545126978</v>
      </c>
      <c r="AX124" s="20">
        <v>6346.5810000000001</v>
      </c>
      <c r="AY124" s="20">
        <v>1219.0925</v>
      </c>
      <c r="AZ124" s="20">
        <v>19.208649507506482</v>
      </c>
      <c r="BA124" s="20">
        <v>10459.2312</v>
      </c>
      <c r="BB124" s="20">
        <v>1933.5996</v>
      </c>
      <c r="BC124" s="20">
        <v>18.487014609639761</v>
      </c>
      <c r="BD124" s="20">
        <v>10304.56</v>
      </c>
      <c r="BE124" s="20">
        <v>1914.3043</v>
      </c>
      <c r="BF124" s="20">
        <v>18.57725414767831</v>
      </c>
      <c r="BG124" s="20">
        <v>13368.6623</v>
      </c>
      <c r="BH124" s="20">
        <v>1009.5003</v>
      </c>
      <c r="BI124" s="20">
        <v>7.5512439266268254</v>
      </c>
      <c r="BJ124" s="20">
        <v>13361.8012</v>
      </c>
      <c r="BK124" s="20">
        <v>2994.4454000000001</v>
      </c>
      <c r="BL124" s="20">
        <v>22.410492082459662</v>
      </c>
      <c r="BM124" s="20">
        <v>13115.7117</v>
      </c>
      <c r="BN124" s="20">
        <v>2938.1037000000001</v>
      </c>
      <c r="BO124" s="20">
        <v>22.401405026309021</v>
      </c>
      <c r="BP124" s="20">
        <v>3035.7002000000002</v>
      </c>
      <c r="BQ124" s="20">
        <v>3035.7004000000006</v>
      </c>
      <c r="BR124" s="20">
        <v>2954.9811</v>
      </c>
      <c r="BS124" s="20">
        <v>4981.6270000000004</v>
      </c>
      <c r="BT124" s="20">
        <v>4607.6282000000001</v>
      </c>
      <c r="BU124" s="20">
        <v>4606.7004999999999</v>
      </c>
      <c r="BV124" s="20">
        <v>5436.3546000000006</v>
      </c>
      <c r="BW124" s="104">
        <v>4731.0704999999998</v>
      </c>
      <c r="BX124" s="104">
        <v>4730.5320999999994</v>
      </c>
      <c r="BY124" s="104">
        <v>3872.1508000000003</v>
      </c>
      <c r="BZ124" s="104">
        <v>3571.3482000000004</v>
      </c>
      <c r="CA124" s="104">
        <v>3528.3400999999999</v>
      </c>
      <c r="CB124" s="104">
        <v>5740.6692000000003</v>
      </c>
      <c r="CC124" s="89">
        <v>5865.6424999999999</v>
      </c>
      <c r="CD124" s="89">
        <v>5835.4457000000002</v>
      </c>
      <c r="CE124" s="89">
        <v>4711.8431</v>
      </c>
      <c r="CF124" s="20">
        <v>4589.8710000000001</v>
      </c>
      <c r="CG124" s="20">
        <v>5582.8855000000003</v>
      </c>
      <c r="CH124" s="20">
        <v>4716.8244999999997</v>
      </c>
      <c r="CI124" s="20">
        <v>6134.4521999999997</v>
      </c>
      <c r="CJ124" s="20">
        <f>SUM(CJ122:CJ123)</f>
        <v>5560.9501</v>
      </c>
      <c r="CK124" s="20">
        <v>7894.9473000000007</v>
      </c>
      <c r="CL124" s="21">
        <v>7257.3473000000004</v>
      </c>
      <c r="CM124" s="21">
        <f>SUM(CM122:CM123)</f>
        <v>6863.8060000000005</v>
      </c>
      <c r="CN124" s="21">
        <f>SUM(CN122:CN123)</f>
        <v>6863.8047999999999</v>
      </c>
      <c r="CO124" s="21">
        <f>SUM(CO122:CO123)</f>
        <v>9848.9761000000017</v>
      </c>
      <c r="CP124" s="21">
        <f>SUM(CP122:CP123)</f>
        <v>8719.0534999999982</v>
      </c>
      <c r="CQ124" s="21">
        <f>SUM(CQ122:CQ123)</f>
        <v>9875.1669999999995</v>
      </c>
    </row>
    <row r="125" spans="1:95" ht="15.75" x14ac:dyDescent="0.25">
      <c r="A125" s="21" t="s">
        <v>165</v>
      </c>
      <c r="B125" s="20"/>
      <c r="C125" s="20"/>
      <c r="D125" s="20"/>
      <c r="E125" s="20"/>
      <c r="F125" s="20"/>
      <c r="G125" s="20"/>
      <c r="H125" s="20">
        <v>1.9158999999999999</v>
      </c>
      <c r="I125" s="20">
        <v>0</v>
      </c>
      <c r="J125" s="20">
        <v>0</v>
      </c>
      <c r="K125" s="20">
        <v>2.4456000000000002</v>
      </c>
      <c r="L125" s="20">
        <v>0</v>
      </c>
      <c r="M125" s="20">
        <v>0</v>
      </c>
      <c r="N125" s="20">
        <v>70.742699999999999</v>
      </c>
      <c r="O125" s="20">
        <v>1.72</v>
      </c>
      <c r="P125" s="20">
        <v>2.4313462731843707</v>
      </c>
      <c r="Q125" s="20">
        <v>27.6706</v>
      </c>
      <c r="R125" s="20">
        <v>0</v>
      </c>
      <c r="S125" s="20">
        <v>0</v>
      </c>
      <c r="T125" s="20">
        <v>254.83349999999999</v>
      </c>
      <c r="U125" s="20">
        <v>40.200000000000003</v>
      </c>
      <c r="V125" s="20">
        <v>15.775006033351191</v>
      </c>
      <c r="W125" s="20">
        <v>34.869300000000003</v>
      </c>
      <c r="X125" s="20">
        <v>5</v>
      </c>
      <c r="Y125" s="20">
        <v>14.339261183906761</v>
      </c>
      <c r="Z125" s="20">
        <v>24.466799999999999</v>
      </c>
      <c r="AA125" s="20">
        <v>4.3</v>
      </c>
      <c r="AB125" s="20">
        <v>17.574836104435398</v>
      </c>
      <c r="AC125" s="20">
        <v>123.59699999999999</v>
      </c>
      <c r="AD125" s="20">
        <v>20.6</v>
      </c>
      <c r="AE125" s="20">
        <v>16.667071207229949</v>
      </c>
      <c r="AF125" s="20">
        <v>96.051900000000003</v>
      </c>
      <c r="AG125" s="20">
        <v>18.14</v>
      </c>
      <c r="AH125" s="20">
        <v>18.885623293240425</v>
      </c>
      <c r="AI125" s="20">
        <v>6345.2145</v>
      </c>
      <c r="AJ125" s="20">
        <v>15</v>
      </c>
      <c r="AK125" s="20">
        <v>0.23639862765868674</v>
      </c>
      <c r="AL125" s="20">
        <v>209.5393</v>
      </c>
      <c r="AM125" s="20">
        <v>40</v>
      </c>
      <c r="AN125" s="20">
        <v>19.089497769630803</v>
      </c>
      <c r="AO125" s="20">
        <v>131.60480000000001</v>
      </c>
      <c r="AP125" s="20">
        <v>25</v>
      </c>
      <c r="AQ125" s="20">
        <v>18.996267613339331</v>
      </c>
      <c r="AR125" s="20">
        <v>115.00490000000001</v>
      </c>
      <c r="AS125" s="20">
        <v>22</v>
      </c>
      <c r="AT125" s="20">
        <v>19.129619694465191</v>
      </c>
      <c r="AU125" s="20">
        <v>115.1069</v>
      </c>
      <c r="AV125" s="20">
        <v>22</v>
      </c>
      <c r="AW125" s="20">
        <v>19.112668310935312</v>
      </c>
      <c r="AX125" s="20">
        <v>184.822</v>
      </c>
      <c r="AY125" s="20">
        <v>35.200000000000003</v>
      </c>
      <c r="AZ125" s="20">
        <v>19.045351743840019</v>
      </c>
      <c r="BA125" s="20">
        <v>187.00059999999999</v>
      </c>
      <c r="BB125" s="20">
        <v>35.200000000000003</v>
      </c>
      <c r="BC125" s="20">
        <v>18.82346901560744</v>
      </c>
      <c r="BD125" s="20">
        <v>185.86619999999999</v>
      </c>
      <c r="BE125" s="20">
        <v>35.200000000000003</v>
      </c>
      <c r="BF125" s="20">
        <v>18.938354579799878</v>
      </c>
      <c r="BG125" s="20">
        <v>204.7072</v>
      </c>
      <c r="BH125" s="20">
        <v>40</v>
      </c>
      <c r="BI125" s="20">
        <v>19.540104109674697</v>
      </c>
      <c r="BJ125" s="20">
        <v>270.56819999999999</v>
      </c>
      <c r="BK125" s="20">
        <v>53.2</v>
      </c>
      <c r="BL125" s="20">
        <v>19.662325432183088</v>
      </c>
      <c r="BM125" s="20">
        <v>269.89679999999998</v>
      </c>
      <c r="BN125" s="20">
        <v>53.2</v>
      </c>
      <c r="BO125" s="20">
        <v>19.711237776809508</v>
      </c>
      <c r="BP125" s="20">
        <v>60</v>
      </c>
      <c r="BQ125" s="20">
        <v>40</v>
      </c>
      <c r="BR125" s="20">
        <v>40</v>
      </c>
      <c r="BS125" s="20">
        <v>2</v>
      </c>
      <c r="BT125" s="20">
        <v>1E-4</v>
      </c>
      <c r="BU125" s="21">
        <v>0</v>
      </c>
      <c r="BV125" s="20">
        <v>1E-4</v>
      </c>
      <c r="BW125" s="97">
        <v>0</v>
      </c>
      <c r="BX125" s="21">
        <v>0</v>
      </c>
      <c r="BY125" s="118">
        <v>0</v>
      </c>
      <c r="BZ125" s="21">
        <v>0</v>
      </c>
      <c r="CA125" s="20">
        <v>0</v>
      </c>
      <c r="CB125" s="20">
        <v>0</v>
      </c>
      <c r="CC125" s="20">
        <v>0</v>
      </c>
      <c r="CD125" s="20">
        <v>0</v>
      </c>
      <c r="CE125" s="89">
        <v>0</v>
      </c>
      <c r="CF125" s="20">
        <v>0</v>
      </c>
      <c r="CG125" s="20">
        <v>0</v>
      </c>
      <c r="CH125" s="20">
        <v>0</v>
      </c>
      <c r="CI125" s="21">
        <v>0</v>
      </c>
      <c r="CJ125" s="21">
        <v>0</v>
      </c>
      <c r="CK125" s="21">
        <v>0</v>
      </c>
      <c r="CL125" s="21">
        <v>0</v>
      </c>
      <c r="CM125" s="21">
        <v>0</v>
      </c>
      <c r="CN125" s="21">
        <v>0</v>
      </c>
      <c r="CO125" s="21">
        <v>0</v>
      </c>
      <c r="CP125" s="21">
        <v>0</v>
      </c>
      <c r="CQ125" s="21">
        <v>0</v>
      </c>
    </row>
    <row r="126" spans="1:95" ht="15.75" x14ac:dyDescent="0.25">
      <c r="A126" s="13" t="s">
        <v>166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>
        <v>19.537099999999999</v>
      </c>
      <c r="L126" s="12">
        <v>0</v>
      </c>
      <c r="M126" s="12">
        <v>0</v>
      </c>
      <c r="N126" s="12">
        <v>75.849199999999996</v>
      </c>
      <c r="O126" s="12">
        <v>12.862</v>
      </c>
      <c r="P126" s="12">
        <v>16.957331125443645</v>
      </c>
      <c r="Q126" s="12">
        <v>74.488799999999998</v>
      </c>
      <c r="R126" s="12">
        <v>12.7127</v>
      </c>
      <c r="S126" s="12">
        <v>17.066592561566303</v>
      </c>
      <c r="T126" s="12">
        <v>31.7578</v>
      </c>
      <c r="U126" s="12">
        <v>0</v>
      </c>
      <c r="V126" s="12">
        <v>0</v>
      </c>
      <c r="W126" s="12">
        <v>32.116399999999999</v>
      </c>
      <c r="X126" s="12">
        <v>0</v>
      </c>
      <c r="Y126" s="12">
        <v>0</v>
      </c>
      <c r="Z126" s="12">
        <v>25.899799999999999</v>
      </c>
      <c r="AA126" s="12">
        <v>0</v>
      </c>
      <c r="AB126" s="12">
        <v>0</v>
      </c>
      <c r="AC126" s="12">
        <v>40.220399999999998</v>
      </c>
      <c r="AD126" s="12">
        <v>0</v>
      </c>
      <c r="AE126" s="12">
        <v>0</v>
      </c>
      <c r="AF126" s="12">
        <v>28.150500000000001</v>
      </c>
      <c r="AG126" s="12">
        <v>0</v>
      </c>
      <c r="AH126" s="12">
        <v>0</v>
      </c>
      <c r="AI126" s="12">
        <v>12.747599999999998</v>
      </c>
      <c r="AJ126" s="12">
        <v>0</v>
      </c>
      <c r="AK126" s="12">
        <v>0</v>
      </c>
      <c r="AL126" s="12">
        <v>40.536000000000001</v>
      </c>
      <c r="AM126" s="12">
        <v>0</v>
      </c>
      <c r="AN126" s="12">
        <v>0</v>
      </c>
      <c r="AO126" s="12">
        <v>79.983400000000003</v>
      </c>
      <c r="AP126" s="12">
        <v>0</v>
      </c>
      <c r="AQ126" s="12">
        <v>0</v>
      </c>
      <c r="AR126" s="12">
        <v>71.783100000000005</v>
      </c>
      <c r="AS126" s="12">
        <v>0</v>
      </c>
      <c r="AT126" s="12">
        <v>0</v>
      </c>
      <c r="AU126" s="12">
        <v>67.956999999999994</v>
      </c>
      <c r="AV126" s="12">
        <v>0</v>
      </c>
      <c r="AW126" s="12">
        <v>0</v>
      </c>
      <c r="AX126" s="12">
        <v>63.01</v>
      </c>
      <c r="AY126" s="12">
        <v>0</v>
      </c>
      <c r="AZ126" s="12">
        <v>0</v>
      </c>
      <c r="BA126" s="12">
        <v>32.0764</v>
      </c>
      <c r="BB126" s="12">
        <v>0</v>
      </c>
      <c r="BC126" s="12">
        <v>0</v>
      </c>
      <c r="BD126" s="12">
        <v>1.6951000000000001</v>
      </c>
      <c r="BE126" s="12">
        <v>0</v>
      </c>
      <c r="BF126" s="12">
        <v>0</v>
      </c>
      <c r="BG126" s="12">
        <v>38.139499999999998</v>
      </c>
      <c r="BH126" s="12">
        <v>0</v>
      </c>
      <c r="BI126" s="12">
        <v>0</v>
      </c>
      <c r="BJ126" s="12">
        <v>11.5723</v>
      </c>
      <c r="BK126" s="12">
        <v>0</v>
      </c>
      <c r="BL126" s="12">
        <v>0</v>
      </c>
      <c r="BM126" s="12">
        <v>6.42</v>
      </c>
      <c r="BN126" s="12">
        <v>0</v>
      </c>
      <c r="BO126" s="12">
        <v>0</v>
      </c>
      <c r="BP126" s="12">
        <v>0</v>
      </c>
      <c r="BQ126" s="12">
        <v>0</v>
      </c>
      <c r="BR126" s="12">
        <v>0</v>
      </c>
      <c r="BS126" s="12">
        <v>0</v>
      </c>
      <c r="BT126" s="12">
        <v>0</v>
      </c>
      <c r="BU126" s="13">
        <v>0</v>
      </c>
      <c r="BV126" s="12">
        <v>0</v>
      </c>
      <c r="BW126" s="98">
        <v>0</v>
      </c>
      <c r="BX126" s="13">
        <v>0</v>
      </c>
      <c r="BY126" s="119">
        <v>0</v>
      </c>
      <c r="BZ126" s="13">
        <v>0</v>
      </c>
      <c r="CA126" s="13">
        <v>0</v>
      </c>
      <c r="CB126" s="13">
        <v>0</v>
      </c>
      <c r="CC126" s="12">
        <v>1.42</v>
      </c>
      <c r="CD126" s="12">
        <v>1.4200000000000001E-2</v>
      </c>
      <c r="CE126" s="81">
        <v>68.900000000000006</v>
      </c>
      <c r="CF126" s="12">
        <v>95</v>
      </c>
      <c r="CG126" s="12">
        <v>92.793599999999998</v>
      </c>
      <c r="CH126" s="12">
        <v>126</v>
      </c>
      <c r="CI126" s="13">
        <v>89.09</v>
      </c>
      <c r="CJ126" s="13">
        <v>55.38</v>
      </c>
      <c r="CK126" s="13">
        <v>53.680100000000003</v>
      </c>
      <c r="CL126" s="13">
        <v>53.680100000000003</v>
      </c>
      <c r="CM126" s="13">
        <v>35.659999999999997</v>
      </c>
      <c r="CN126" s="13">
        <v>35.659999999999997</v>
      </c>
      <c r="CO126" s="13">
        <v>35.6601</v>
      </c>
      <c r="CP126" s="13">
        <v>36.016599999999997</v>
      </c>
      <c r="CQ126" s="13">
        <v>35.6601</v>
      </c>
    </row>
    <row r="127" spans="1:95" ht="15.75" x14ac:dyDescent="0.25">
      <c r="A127" s="13" t="s">
        <v>167</v>
      </c>
      <c r="B127" s="12"/>
      <c r="C127" s="12"/>
      <c r="D127" s="12"/>
      <c r="E127" s="12"/>
      <c r="F127" s="12"/>
      <c r="G127" s="12"/>
      <c r="H127" s="12">
        <v>0</v>
      </c>
      <c r="I127" s="12">
        <v>0</v>
      </c>
      <c r="J127" s="12">
        <v>0</v>
      </c>
      <c r="K127" s="12">
        <v>105.82940000000001</v>
      </c>
      <c r="L127" s="12">
        <v>0</v>
      </c>
      <c r="M127" s="12">
        <v>0</v>
      </c>
      <c r="N127" s="12">
        <v>63.020400000000002</v>
      </c>
      <c r="O127" s="12">
        <v>13.504300000000001</v>
      </c>
      <c r="P127" s="12">
        <v>21.428458086587835</v>
      </c>
      <c r="Q127" s="12">
        <v>59.086500000000001</v>
      </c>
      <c r="R127" s="12">
        <v>12.832700000000001</v>
      </c>
      <c r="S127" s="12">
        <v>21.718497457117955</v>
      </c>
      <c r="T127" s="12">
        <v>43.692100000000003</v>
      </c>
      <c r="U127" s="12">
        <v>12.292999999999999</v>
      </c>
      <c r="V127" s="12">
        <v>28.135521066737461</v>
      </c>
      <c r="W127" s="12">
        <v>64.077200000000005</v>
      </c>
      <c r="X127" s="12">
        <v>3.3315000000000001</v>
      </c>
      <c r="Y127" s="12">
        <v>5.1991972183553585</v>
      </c>
      <c r="Z127" s="12">
        <v>50.055</v>
      </c>
      <c r="AA127" s="12">
        <v>3.1806999999999999</v>
      </c>
      <c r="AB127" s="12">
        <v>6.3544101488362799</v>
      </c>
      <c r="AC127" s="12">
        <v>34.669199999999996</v>
      </c>
      <c r="AD127" s="12">
        <v>1.1438999999999999</v>
      </c>
      <c r="AE127" s="12">
        <v>3.2994704233152192</v>
      </c>
      <c r="AF127" s="12">
        <v>47.944600000000001</v>
      </c>
      <c r="AG127" s="12">
        <v>7.3747999999999996</v>
      </c>
      <c r="AH127" s="12">
        <v>15.38191996596071</v>
      </c>
      <c r="AI127" s="13">
        <v>44.839800000000004</v>
      </c>
      <c r="AJ127" s="13">
        <v>7.2445000000000004</v>
      </c>
      <c r="AK127" s="12">
        <v>16.156405693156525</v>
      </c>
      <c r="AL127" s="12">
        <v>65.440200000000004</v>
      </c>
      <c r="AM127" s="12">
        <v>11.7844</v>
      </c>
      <c r="AN127" s="12">
        <v>18.00789117392673</v>
      </c>
      <c r="AO127" s="12">
        <v>76.018500000000003</v>
      </c>
      <c r="AP127" s="12">
        <v>13.265599999999999</v>
      </c>
      <c r="AQ127" s="12">
        <v>17.450489025697692</v>
      </c>
      <c r="AR127" s="12">
        <v>173.82069999999999</v>
      </c>
      <c r="AS127" s="12">
        <v>33.668799999999997</v>
      </c>
      <c r="AT127" s="12">
        <v>19.369844903397581</v>
      </c>
      <c r="AU127" s="12">
        <v>167.06270000000001</v>
      </c>
      <c r="AV127" s="12">
        <v>33.650300000000001</v>
      </c>
      <c r="AW127" s="12">
        <v>20.142317824385696</v>
      </c>
      <c r="AX127" s="12">
        <v>496.51609999999999</v>
      </c>
      <c r="AY127" s="12">
        <v>91.950800000000001</v>
      </c>
      <c r="AZ127" s="12">
        <v>18.519198068300302</v>
      </c>
      <c r="BA127" s="12">
        <v>480.53489999999999</v>
      </c>
      <c r="BB127" s="12">
        <v>85.604900000000001</v>
      </c>
      <c r="BC127" s="12">
        <v>17.814502130854596</v>
      </c>
      <c r="BD127" s="12">
        <v>448.3372</v>
      </c>
      <c r="BE127" s="12">
        <v>80.378100000000003</v>
      </c>
      <c r="BF127" s="12">
        <v>17.928046122427496</v>
      </c>
      <c r="BG127" s="12">
        <v>420.0009</v>
      </c>
      <c r="BH127" s="12">
        <v>76.037099999999995</v>
      </c>
      <c r="BI127" s="12">
        <v>18.104032634215784</v>
      </c>
      <c r="BJ127" s="12">
        <v>491.95179999999999</v>
      </c>
      <c r="BK127" s="12">
        <v>137.62950000000001</v>
      </c>
      <c r="BL127" s="12">
        <v>27.976216369164625</v>
      </c>
      <c r="BM127" s="12">
        <v>466.7226</v>
      </c>
      <c r="BN127" s="12">
        <v>133.6277</v>
      </c>
      <c r="BO127" s="12">
        <v>28.631075503950314</v>
      </c>
      <c r="BP127" s="12">
        <v>95.326099999999997</v>
      </c>
      <c r="BQ127" s="12">
        <v>145.3081</v>
      </c>
      <c r="BR127" s="12">
        <v>142.9864</v>
      </c>
      <c r="BS127" s="12">
        <v>70.128700000000009</v>
      </c>
      <c r="BT127" s="12">
        <v>133.69900000000001</v>
      </c>
      <c r="BU127" s="12">
        <v>120.03189999999999</v>
      </c>
      <c r="BV127" s="12">
        <v>23.5534</v>
      </c>
      <c r="BW127" s="102">
        <v>36.740400000000001</v>
      </c>
      <c r="BX127" s="13">
        <v>34.090200000000003</v>
      </c>
      <c r="BY127" s="123">
        <v>55.5473</v>
      </c>
      <c r="BZ127" s="13">
        <v>102.32810000000001</v>
      </c>
      <c r="CA127" s="13">
        <v>37.871199999999995</v>
      </c>
      <c r="CB127" s="13">
        <v>64.423100000000005</v>
      </c>
      <c r="CC127" s="12">
        <v>85.654200000000003</v>
      </c>
      <c r="CD127" s="12">
        <v>85.230400000000003</v>
      </c>
      <c r="CE127" s="81">
        <v>469.67109999999997</v>
      </c>
      <c r="CF127" s="12">
        <v>510.99770000000001</v>
      </c>
      <c r="CG127" s="12">
        <v>121.1011</v>
      </c>
      <c r="CH127" s="12">
        <v>187.74860000000001</v>
      </c>
      <c r="CI127" s="13">
        <v>81.529300000000006</v>
      </c>
      <c r="CJ127" s="13">
        <v>73.244699999999995</v>
      </c>
      <c r="CK127" s="13">
        <v>151.32149999999999</v>
      </c>
      <c r="CL127" s="13">
        <v>161.90110000000001</v>
      </c>
      <c r="CM127" s="13">
        <v>98.71</v>
      </c>
      <c r="CN127" s="13">
        <v>93.921499999999995</v>
      </c>
      <c r="CO127" s="13">
        <v>199.5112</v>
      </c>
      <c r="CP127" s="13">
        <v>76.697400000000002</v>
      </c>
      <c r="CQ127" s="13">
        <v>91.071399999999997</v>
      </c>
    </row>
    <row r="128" spans="1:95" ht="15.75" x14ac:dyDescent="0.25">
      <c r="A128" s="21" t="s">
        <v>168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>
        <v>125.3665</v>
      </c>
      <c r="L128" s="20">
        <v>0</v>
      </c>
      <c r="M128" s="20">
        <v>0</v>
      </c>
      <c r="N128" s="20">
        <v>138.86959999999999</v>
      </c>
      <c r="O128" s="20">
        <v>26.366300000000003</v>
      </c>
      <c r="P128" s="20">
        <v>18.986372827458283</v>
      </c>
      <c r="Q128" s="20">
        <v>133.5753</v>
      </c>
      <c r="R128" s="20">
        <v>25.545400000000001</v>
      </c>
      <c r="S128" s="20">
        <v>19.124344096550786</v>
      </c>
      <c r="T128" s="20">
        <v>75.4499</v>
      </c>
      <c r="U128" s="20">
        <v>12.292999999999999</v>
      </c>
      <c r="V128" s="20">
        <v>16.292930805739967</v>
      </c>
      <c r="W128" s="20">
        <v>96.193600000000004</v>
      </c>
      <c r="X128" s="20">
        <v>3.3315000000000001</v>
      </c>
      <c r="Y128" s="20">
        <v>3.4633281216213967</v>
      </c>
      <c r="Z128" s="20">
        <v>75.954800000000006</v>
      </c>
      <c r="AA128" s="20">
        <v>3.1806999999999999</v>
      </c>
      <c r="AB128" s="20">
        <v>4.1876221120982473</v>
      </c>
      <c r="AC128" s="20">
        <v>74.889600000000002</v>
      </c>
      <c r="AD128" s="20">
        <v>1.1438999999999999</v>
      </c>
      <c r="AE128" s="20">
        <v>1.5274484040507625</v>
      </c>
      <c r="AF128" s="20">
        <v>76.095100000000002</v>
      </c>
      <c r="AG128" s="20">
        <v>7.3747999999999996</v>
      </c>
      <c r="AH128" s="20">
        <v>9.6915570122123498</v>
      </c>
      <c r="AI128" s="20">
        <v>57.587400000000002</v>
      </c>
      <c r="AJ128" s="20">
        <v>7.2445000000000004</v>
      </c>
      <c r="AK128" s="20">
        <v>12.58000882137412</v>
      </c>
      <c r="AL128" s="20">
        <v>105.97620000000001</v>
      </c>
      <c r="AM128" s="20">
        <v>11.7844</v>
      </c>
      <c r="AN128" s="20">
        <v>11.119855212774187</v>
      </c>
      <c r="AO128" s="20">
        <v>156.00190000000001</v>
      </c>
      <c r="AP128" s="20">
        <v>13.265599999999999</v>
      </c>
      <c r="AQ128" s="20">
        <v>8.503486175488888</v>
      </c>
      <c r="AR128" s="20">
        <v>245.60379999999998</v>
      </c>
      <c r="AS128" s="20">
        <v>33.668799999999997</v>
      </c>
      <c r="AT128" s="20">
        <v>13.708582684795594</v>
      </c>
      <c r="AU128" s="20">
        <v>235.0197</v>
      </c>
      <c r="AV128" s="20">
        <v>33.650300000000001</v>
      </c>
      <c r="AW128" s="20">
        <v>14.31807631445364</v>
      </c>
      <c r="AX128" s="20">
        <v>559.52610000000004</v>
      </c>
      <c r="AY128" s="20">
        <v>91.950800000000001</v>
      </c>
      <c r="AZ128" s="20">
        <v>16.43369272675573</v>
      </c>
      <c r="BA128" s="20">
        <v>512.61130000000003</v>
      </c>
      <c r="BB128" s="20">
        <v>85.604900000000001</v>
      </c>
      <c r="BC128" s="20">
        <v>16.699768421023883</v>
      </c>
      <c r="BD128" s="20">
        <v>450.03230000000002</v>
      </c>
      <c r="BE128" s="20">
        <v>80.378100000000003</v>
      </c>
      <c r="BF128" s="20">
        <v>17.86051801170716</v>
      </c>
      <c r="BG128" s="20">
        <v>458.1404</v>
      </c>
      <c r="BH128" s="20">
        <v>76.037099999999995</v>
      </c>
      <c r="BI128" s="20">
        <v>16.596899116515374</v>
      </c>
      <c r="BJ128" s="20">
        <v>503.52409999999998</v>
      </c>
      <c r="BK128" s="20">
        <v>137.62950000000001</v>
      </c>
      <c r="BL128" s="20">
        <v>27.333249788838316</v>
      </c>
      <c r="BM128" s="20">
        <v>473.14260000000002</v>
      </c>
      <c r="BN128" s="20">
        <v>133.6277</v>
      </c>
      <c r="BO128" s="20">
        <v>28.242584793675313</v>
      </c>
      <c r="BP128" s="20">
        <v>95.326099999999997</v>
      </c>
      <c r="BQ128" s="20">
        <v>145.3081</v>
      </c>
      <c r="BR128" s="20">
        <v>142.9864</v>
      </c>
      <c r="BS128" s="20">
        <v>70.128700000000009</v>
      </c>
      <c r="BT128" s="20">
        <v>133.69900000000001</v>
      </c>
      <c r="BU128" s="20">
        <v>120.03189999999999</v>
      </c>
      <c r="BV128" s="20">
        <v>23.5534</v>
      </c>
      <c r="BW128" s="89">
        <v>36.740400000000001</v>
      </c>
      <c r="BX128" s="89">
        <v>34.090200000000003</v>
      </c>
      <c r="BY128" s="89">
        <v>55.5473</v>
      </c>
      <c r="BZ128" s="89">
        <v>102.32810000000001</v>
      </c>
      <c r="CA128" s="89">
        <v>37.871199999999995</v>
      </c>
      <c r="CB128" s="89">
        <v>64.423100000000005</v>
      </c>
      <c r="CC128" s="89">
        <v>87.074200000000005</v>
      </c>
      <c r="CD128" s="89">
        <v>85.244600000000005</v>
      </c>
      <c r="CE128" s="89">
        <v>538.5711</v>
      </c>
      <c r="CF128" s="20">
        <v>605.99770000000001</v>
      </c>
      <c r="CG128" s="20">
        <v>213.8947</v>
      </c>
      <c r="CH128" s="20">
        <v>313.74860000000001</v>
      </c>
      <c r="CI128" s="20">
        <v>170.61930000000001</v>
      </c>
      <c r="CJ128" s="20">
        <f>SUM(CJ126:CJ127)</f>
        <v>128.62469999999999</v>
      </c>
      <c r="CK128" s="20">
        <v>205.0016</v>
      </c>
      <c r="CL128" s="20">
        <v>215.58120000000002</v>
      </c>
      <c r="CM128" s="21">
        <f>SUM(CM126:CM127)</f>
        <v>134.37</v>
      </c>
      <c r="CN128" s="21">
        <f>SUM(CN126:CN127)</f>
        <v>129.58150000000001</v>
      </c>
      <c r="CO128" s="21">
        <f>SUM(CO126:CO127)</f>
        <v>235.1713</v>
      </c>
      <c r="CP128" s="21">
        <f>SUM(CP126:CP127)</f>
        <v>112.714</v>
      </c>
      <c r="CQ128" s="21">
        <f>SUM(CQ126:CQ127)</f>
        <v>126.7315</v>
      </c>
    </row>
    <row r="129" spans="1:95" s="159" customFormat="1" ht="15.75" x14ac:dyDescent="0.25">
      <c r="A129" s="33" t="s">
        <v>169</v>
      </c>
      <c r="B129" s="64"/>
      <c r="C129" s="64"/>
      <c r="D129" s="64"/>
      <c r="E129" s="64"/>
      <c r="F129" s="64"/>
      <c r="G129" s="64"/>
      <c r="H129" s="64">
        <v>5.6428000000000003</v>
      </c>
      <c r="I129" s="64">
        <v>0</v>
      </c>
      <c r="J129" s="64">
        <v>0</v>
      </c>
      <c r="K129" s="64">
        <v>5.9470000000000001</v>
      </c>
      <c r="L129" s="64">
        <v>0</v>
      </c>
      <c r="M129" s="64">
        <v>0</v>
      </c>
      <c r="N129" s="64">
        <v>93.615899999999996</v>
      </c>
      <c r="O129" s="64">
        <v>1.2909999999999999</v>
      </c>
      <c r="P129" s="64">
        <v>1.3790392444018591</v>
      </c>
      <c r="Q129" s="64">
        <v>98.713300000000004</v>
      </c>
      <c r="R129" s="64">
        <v>0.89359999999999995</v>
      </c>
      <c r="S129" s="64">
        <v>0.90524782374816759</v>
      </c>
      <c r="T129" s="64">
        <v>143.7276</v>
      </c>
      <c r="U129" s="64">
        <v>25.094999999999999</v>
      </c>
      <c r="V129" s="64">
        <v>17.460112045285666</v>
      </c>
      <c r="W129" s="64">
        <v>337.57479999999998</v>
      </c>
      <c r="X129" s="64">
        <v>26.195900000000002</v>
      </c>
      <c r="Y129" s="64">
        <v>7.7600282959510016</v>
      </c>
      <c r="Z129" s="64">
        <v>324.61489999999998</v>
      </c>
      <c r="AA129" s="64">
        <v>24.949000000000002</v>
      </c>
      <c r="AB129" s="64">
        <v>7.6857223744196599</v>
      </c>
      <c r="AC129" s="64">
        <v>137.56479999999999</v>
      </c>
      <c r="AD129" s="64">
        <v>23.700900000000001</v>
      </c>
      <c r="AE129" s="64">
        <v>17.228898671753239</v>
      </c>
      <c r="AF129" s="64">
        <v>710.42909999999995</v>
      </c>
      <c r="AG129" s="64">
        <v>118.101</v>
      </c>
      <c r="AH129" s="64">
        <v>16.623896740716283</v>
      </c>
      <c r="AI129" s="64">
        <v>583.50440000000003</v>
      </c>
      <c r="AJ129" s="64">
        <v>101.51819999999999</v>
      </c>
      <c r="AK129" s="64">
        <v>17.39801790697722</v>
      </c>
      <c r="AL129" s="64">
        <v>376.0496</v>
      </c>
      <c r="AM129" s="64">
        <v>69.4512</v>
      </c>
      <c r="AN129" s="64">
        <v>18.46862754274968</v>
      </c>
      <c r="AO129" s="64">
        <v>753.15060000000005</v>
      </c>
      <c r="AP129" s="64">
        <v>152.7996</v>
      </c>
      <c r="AQ129" s="64">
        <v>20.28805394299626</v>
      </c>
      <c r="AR129" s="64">
        <v>815.04089999999997</v>
      </c>
      <c r="AS129" s="64">
        <v>163.87860000000001</v>
      </c>
      <c r="AT129" s="64">
        <v>20.106794640612517</v>
      </c>
      <c r="AU129" s="64">
        <v>792.28610000000003</v>
      </c>
      <c r="AV129" s="64">
        <v>158.94540000000001</v>
      </c>
      <c r="AW129" s="64">
        <v>20.061616630659053</v>
      </c>
      <c r="AX129" s="64">
        <v>376.89620000000002</v>
      </c>
      <c r="AY129" s="64">
        <v>73.203100000000006</v>
      </c>
      <c r="AZ129" s="64">
        <v>19.422615563648559</v>
      </c>
      <c r="BA129" s="64">
        <v>278.90809999999999</v>
      </c>
      <c r="BB129" s="64">
        <v>56.405799999999999</v>
      </c>
      <c r="BC129" s="64">
        <v>20.223794145813624</v>
      </c>
      <c r="BD129" s="64">
        <v>266.91219999999998</v>
      </c>
      <c r="BE129" s="64">
        <v>54.114600000000003</v>
      </c>
      <c r="BF129" s="64">
        <v>20.274307431432511</v>
      </c>
      <c r="BG129" s="64">
        <v>408.43950000000001</v>
      </c>
      <c r="BH129" s="64">
        <v>73.715599999999995</v>
      </c>
      <c r="BI129" s="64">
        <v>18.048107492052065</v>
      </c>
      <c r="BJ129" s="64">
        <v>479.54579999999999</v>
      </c>
      <c r="BK129" s="64">
        <v>85.883200000000002</v>
      </c>
      <c r="BL129" s="64">
        <v>17.909279989523423</v>
      </c>
      <c r="BM129" s="64">
        <v>471.39159999999998</v>
      </c>
      <c r="BN129" s="64">
        <v>83.695999999999998</v>
      </c>
      <c r="BO129" s="64">
        <v>17.75508939913227</v>
      </c>
      <c r="BP129" s="64">
        <v>77.347099999999998</v>
      </c>
      <c r="BQ129" s="64">
        <v>60.687100000000001</v>
      </c>
      <c r="BR129" s="161">
        <v>47.259399999999999</v>
      </c>
      <c r="BS129" s="161">
        <v>72.7898</v>
      </c>
      <c r="BT129" s="161">
        <v>109.50040000000001</v>
      </c>
      <c r="BU129" s="64">
        <v>107.0506</v>
      </c>
      <c r="BV129" s="161">
        <v>166.64019999999999</v>
      </c>
      <c r="BW129" s="96">
        <v>204.14699999999999</v>
      </c>
      <c r="BX129" s="33">
        <v>191.84210000000002</v>
      </c>
      <c r="BY129" s="117">
        <v>194.00029999999998</v>
      </c>
      <c r="BZ129" s="33">
        <v>408.35320000000002</v>
      </c>
      <c r="CA129" s="33">
        <v>403.7079</v>
      </c>
      <c r="CB129" s="33">
        <v>126.8203</v>
      </c>
      <c r="CC129" s="64">
        <v>188.6575</v>
      </c>
      <c r="CD129" s="64">
        <v>180.87639999999999</v>
      </c>
      <c r="CE129" s="96">
        <v>126.8503</v>
      </c>
      <c r="CF129" s="64">
        <v>280.3981</v>
      </c>
      <c r="CG129" s="64">
        <v>242.13139999999999</v>
      </c>
      <c r="CH129" s="64">
        <v>639.40030000000002</v>
      </c>
      <c r="CI129" s="33">
        <v>468.47550000000001</v>
      </c>
      <c r="CJ129" s="153">
        <f>278.0202+60.1509</f>
        <v>338.17109999999997</v>
      </c>
      <c r="CK129" s="153">
        <v>425.38409999999999</v>
      </c>
      <c r="CL129" s="153">
        <v>425.38409999999999</v>
      </c>
      <c r="CM129" s="153">
        <f>267.2305+83.2957</f>
        <v>350.52620000000002</v>
      </c>
      <c r="CN129" s="153">
        <f>196.3425+49.8149</f>
        <v>246.1574</v>
      </c>
      <c r="CO129" s="153">
        <f>263.2412+54.962</f>
        <v>318.20319999999998</v>
      </c>
      <c r="CP129" s="153">
        <f>363.6631+72.8323</f>
        <v>436.49540000000002</v>
      </c>
      <c r="CQ129" s="153">
        <f>326.2303+53.2505</f>
        <v>379.48079999999999</v>
      </c>
    </row>
    <row r="130" spans="1:95" ht="15.75" x14ac:dyDescent="0.25">
      <c r="A130" s="21" t="s">
        <v>170</v>
      </c>
      <c r="B130" s="20"/>
      <c r="C130" s="20"/>
      <c r="D130" s="20"/>
      <c r="E130" s="20"/>
      <c r="F130" s="20"/>
      <c r="G130" s="20"/>
      <c r="H130" s="20">
        <v>426.81029999999998</v>
      </c>
      <c r="I130" s="20">
        <v>0</v>
      </c>
      <c r="J130" s="20">
        <v>0</v>
      </c>
      <c r="K130" s="20">
        <v>553.13940000000002</v>
      </c>
      <c r="L130" s="20">
        <v>0</v>
      </c>
      <c r="M130" s="20">
        <v>0</v>
      </c>
      <c r="N130" s="20">
        <v>1173.7188000000001</v>
      </c>
      <c r="O130" s="20">
        <v>179.4821</v>
      </c>
      <c r="P130" s="20">
        <v>15.291746200197185</v>
      </c>
      <c r="Q130" s="20">
        <v>1083.3151</v>
      </c>
      <c r="R130" s="20">
        <v>145.29830000000001</v>
      </c>
      <c r="S130" s="20">
        <v>13.412376509844643</v>
      </c>
      <c r="T130" s="20">
        <v>1369.8963000000001</v>
      </c>
      <c r="U130" s="20">
        <v>194.2242</v>
      </c>
      <c r="V130" s="20">
        <v>14.178022088241276</v>
      </c>
      <c r="W130" s="20">
        <v>1390.4707000000001</v>
      </c>
      <c r="X130" s="20">
        <v>201.42869999999999</v>
      </c>
      <c r="Y130" s="20">
        <v>14.486367817746896</v>
      </c>
      <c r="Z130" s="20">
        <v>1411.8169</v>
      </c>
      <c r="AA130" s="20">
        <v>226.16980000000001</v>
      </c>
      <c r="AB130" s="20">
        <v>16.019768569139526</v>
      </c>
      <c r="AC130" s="20">
        <v>1893.6439</v>
      </c>
      <c r="AD130" s="20">
        <v>265.12079999999997</v>
      </c>
      <c r="AE130" s="20">
        <v>14.000562618980261</v>
      </c>
      <c r="AF130" s="20">
        <v>2269.1927999999998</v>
      </c>
      <c r="AG130" s="20">
        <v>317.9128</v>
      </c>
      <c r="AH130" s="20">
        <v>14.009951027519568</v>
      </c>
      <c r="AI130" s="20">
        <v>2227.0817000000002</v>
      </c>
      <c r="AJ130" s="20">
        <v>303.74599999999998</v>
      </c>
      <c r="AK130" s="20">
        <v>13.638745269201394</v>
      </c>
      <c r="AL130" s="20">
        <v>2229.1401000000001</v>
      </c>
      <c r="AM130" s="20">
        <v>346.83240000000001</v>
      </c>
      <c r="AN130" s="20">
        <v>15.559022064158281</v>
      </c>
      <c r="AO130" s="20">
        <v>3675.1401999999998</v>
      </c>
      <c r="AP130" s="20">
        <v>381.83249999999998</v>
      </c>
      <c r="AQ130" s="20">
        <v>10.389603640155007</v>
      </c>
      <c r="AR130" s="20">
        <v>3765.4942000000001</v>
      </c>
      <c r="AS130" s="20">
        <v>381.83249999999998</v>
      </c>
      <c r="AT130" s="20">
        <v>10.140302433608847</v>
      </c>
      <c r="AU130" s="20">
        <v>2706.3213000000001</v>
      </c>
      <c r="AV130" s="20">
        <v>323.96460000000002</v>
      </c>
      <c r="AW130" s="20">
        <v>11.970662906876578</v>
      </c>
      <c r="AX130" s="20">
        <v>3035.1399000000001</v>
      </c>
      <c r="AY130" s="20">
        <v>309.45</v>
      </c>
      <c r="AZ130" s="20">
        <v>10.195576157790946</v>
      </c>
      <c r="BA130" s="20">
        <v>3136.3512000000001</v>
      </c>
      <c r="BB130" s="20">
        <v>350.12329999999997</v>
      </c>
      <c r="BC130" s="20">
        <v>11.163395859494306</v>
      </c>
      <c r="BD130" s="20">
        <v>3034.2240999999999</v>
      </c>
      <c r="BE130" s="20">
        <v>332.4479</v>
      </c>
      <c r="BF130" s="20">
        <v>10.956603370199321</v>
      </c>
      <c r="BG130" s="20">
        <v>4264.4966999999997</v>
      </c>
      <c r="BH130" s="20">
        <v>707.32920000000001</v>
      </c>
      <c r="BI130" s="20">
        <v>16.586463767224867</v>
      </c>
      <c r="BJ130" s="20">
        <v>2498.2042000000001</v>
      </c>
      <c r="BK130" s="20">
        <v>402.08080000000001</v>
      </c>
      <c r="BL130" s="20">
        <v>16.094793211859944</v>
      </c>
      <c r="BM130" s="20">
        <v>2420.8737999999998</v>
      </c>
      <c r="BN130" s="20">
        <v>388.02260000000001</v>
      </c>
      <c r="BO130" s="20">
        <v>16.028204361582173</v>
      </c>
      <c r="BP130" s="20">
        <v>787.34860000000003</v>
      </c>
      <c r="BQ130" s="20">
        <v>768.37819999999999</v>
      </c>
      <c r="BR130" s="47">
        <v>747.26120000000003</v>
      </c>
      <c r="BS130" s="47">
        <v>798.00540000000001</v>
      </c>
      <c r="BT130" s="47">
        <v>667.00139999999999</v>
      </c>
      <c r="BU130" s="47">
        <v>638.02390000000003</v>
      </c>
      <c r="BV130" s="47">
        <v>821.46929999999986</v>
      </c>
      <c r="BW130" s="100">
        <v>812.13830000000007</v>
      </c>
      <c r="BX130" s="21">
        <v>724.08860000000004</v>
      </c>
      <c r="BY130" s="21">
        <v>1005.0365999999999</v>
      </c>
      <c r="BZ130" s="21">
        <v>709.49390000000005</v>
      </c>
      <c r="CA130" s="21">
        <v>655.9008</v>
      </c>
      <c r="CB130" s="21">
        <v>1130.6586</v>
      </c>
      <c r="CC130" s="20">
        <v>1289.8510000000001</v>
      </c>
      <c r="CD130" s="20">
        <v>986.84609999999998</v>
      </c>
      <c r="CE130" s="89">
        <v>1510.8282999999999</v>
      </c>
      <c r="CF130" s="20">
        <v>1229.6238999999998</v>
      </c>
      <c r="CG130" s="20">
        <v>1171.2030999999999</v>
      </c>
      <c r="CH130" s="20">
        <v>2646.3493000000003</v>
      </c>
      <c r="CI130" s="21">
        <v>2002.3312000000001</v>
      </c>
      <c r="CJ130" s="21">
        <f>593.7196+137.2516+1019.8052+47.9292+0.5642</f>
        <v>1799.2698</v>
      </c>
      <c r="CK130" s="21">
        <v>1979.1527000000001</v>
      </c>
      <c r="CL130" s="21">
        <v>2018.6478000000002</v>
      </c>
      <c r="CM130" s="21">
        <f>65.1798+567.47+231.79+1239.7182+106.98+2.1373</f>
        <v>2213.2752999999998</v>
      </c>
      <c r="CN130" s="21">
        <f>591.3161+234.9043+1178.1172+101.0451+1.1981</f>
        <v>2106.5807999999997</v>
      </c>
      <c r="CO130" s="21">
        <f>85.6869+723.5478+267.45+1841.1321+117.678+3.5057</f>
        <v>3039.0005000000001</v>
      </c>
      <c r="CP130" s="21">
        <f>85.6869+703.6233+267.45+1234.638+1.19</f>
        <v>2292.5881999999997</v>
      </c>
      <c r="CQ130" s="21">
        <f>85.6869+634.8011+213.96+1497.4219+1.36</f>
        <v>2433.2299000000003</v>
      </c>
    </row>
    <row r="131" spans="1:95" ht="15.75" x14ac:dyDescent="0.25">
      <c r="A131" s="32" t="s">
        <v>171</v>
      </c>
      <c r="B131" s="12"/>
      <c r="C131" s="12"/>
      <c r="D131" s="12"/>
      <c r="E131" s="12"/>
      <c r="F131" s="12"/>
      <c r="G131" s="12"/>
      <c r="H131" s="12">
        <v>16.884499999999999</v>
      </c>
      <c r="I131" s="12">
        <v>0</v>
      </c>
      <c r="J131" s="12">
        <v>0</v>
      </c>
      <c r="K131" s="12">
        <v>22.4802</v>
      </c>
      <c r="L131" s="12">
        <v>0</v>
      </c>
      <c r="M131" s="12">
        <v>0</v>
      </c>
      <c r="N131" s="12">
        <v>20.584299999999999</v>
      </c>
      <c r="O131" s="12">
        <v>4.2899000000000003</v>
      </c>
      <c r="P131" s="12">
        <v>20.840640682461878</v>
      </c>
      <c r="Q131" s="12">
        <v>20.168299999999999</v>
      </c>
      <c r="R131" s="12">
        <v>4.2828999999999997</v>
      </c>
      <c r="S131" s="12">
        <v>21.235800736799828</v>
      </c>
      <c r="T131" s="12">
        <v>17.495100000000001</v>
      </c>
      <c r="U131" s="12">
        <v>3</v>
      </c>
      <c r="V131" s="12">
        <v>17.147658487233567</v>
      </c>
      <c r="W131" s="12">
        <v>20.733699999999999</v>
      </c>
      <c r="X131" s="12">
        <v>3</v>
      </c>
      <c r="Y131" s="12">
        <v>14.469197490076544</v>
      </c>
      <c r="Z131" s="12">
        <v>20.518599999999999</v>
      </c>
      <c r="AA131" s="12">
        <v>2.9992999999999999</v>
      </c>
      <c r="AB131" s="12">
        <v>14.617469028101333</v>
      </c>
      <c r="AC131" s="12">
        <v>22.292100000000001</v>
      </c>
      <c r="AD131" s="12">
        <v>5.3707000000000003</v>
      </c>
      <c r="AE131" s="12">
        <v>24.092391475006842</v>
      </c>
      <c r="AF131" s="12">
        <v>24.343599999999999</v>
      </c>
      <c r="AG131" s="12">
        <v>5.5006000000000004</v>
      </c>
      <c r="AH131" s="12">
        <v>22.595671963062163</v>
      </c>
      <c r="AI131" s="12">
        <v>19.0471</v>
      </c>
      <c r="AJ131" s="12">
        <v>3.4912000000000001</v>
      </c>
      <c r="AK131" s="12">
        <v>18.32929947341065</v>
      </c>
      <c r="AL131" s="12">
        <v>24.695900000000002</v>
      </c>
      <c r="AM131" s="12">
        <v>5.0721999999999996</v>
      </c>
      <c r="AN131" s="12">
        <v>20.53863191865856</v>
      </c>
      <c r="AO131" s="12">
        <v>24.755800000000001</v>
      </c>
      <c r="AP131" s="12">
        <v>5.0721999999999996</v>
      </c>
      <c r="AQ131" s="12">
        <v>20.488935926126402</v>
      </c>
      <c r="AR131" s="12">
        <v>24.6539</v>
      </c>
      <c r="AS131" s="12">
        <v>5.0721999999999996</v>
      </c>
      <c r="AT131" s="12">
        <v>20.573621212059752</v>
      </c>
      <c r="AU131" s="12">
        <v>16.964300000000001</v>
      </c>
      <c r="AV131" s="12">
        <v>1.6601999999999999</v>
      </c>
      <c r="AW131" s="12">
        <v>9.7864338640556916</v>
      </c>
      <c r="AX131" s="12">
        <v>50.821599999999997</v>
      </c>
      <c r="AY131" s="12">
        <v>11.618499999999999</v>
      </c>
      <c r="AZ131" s="12">
        <v>22.861342421332662</v>
      </c>
      <c r="BA131" s="12">
        <v>67.522000000000006</v>
      </c>
      <c r="BB131" s="12">
        <v>9.27</v>
      </c>
      <c r="BC131" s="12">
        <v>13.728858742335829</v>
      </c>
      <c r="BD131" s="12">
        <v>-48.981999999999999</v>
      </c>
      <c r="BE131" s="12">
        <v>66.464799999999997</v>
      </c>
      <c r="BF131" s="12">
        <v>9.2157999999999998</v>
      </c>
      <c r="BG131" s="12">
        <v>69.705100000000002</v>
      </c>
      <c r="BH131" s="12">
        <v>11.1</v>
      </c>
      <c r="BI131" s="12">
        <v>15.924229360548942</v>
      </c>
      <c r="BJ131" s="12">
        <v>93.229799999999997</v>
      </c>
      <c r="BK131" s="12">
        <v>21.593599999999999</v>
      </c>
      <c r="BL131" s="12">
        <v>23.161692935091569</v>
      </c>
      <c r="BM131" s="12">
        <v>471.39159999999998</v>
      </c>
      <c r="BN131" s="12">
        <v>83.695999999999998</v>
      </c>
      <c r="BO131" s="52">
        <v>17.75508939913227</v>
      </c>
      <c r="BP131" s="12">
        <v>17.508099999999999</v>
      </c>
      <c r="BQ131" s="12">
        <v>60.687100000000001</v>
      </c>
      <c r="BR131" s="12">
        <v>19.335599999999999</v>
      </c>
      <c r="BS131" s="12">
        <v>15.270099999999999</v>
      </c>
      <c r="BT131" s="12">
        <v>10.5016</v>
      </c>
      <c r="BU131" s="12">
        <v>6.7046999999999999</v>
      </c>
      <c r="BV131" s="12">
        <v>9</v>
      </c>
      <c r="BW131" s="81">
        <v>1.9872000000000001</v>
      </c>
      <c r="BX131" s="13">
        <v>1.7877000000000001</v>
      </c>
      <c r="BY131" s="109">
        <v>2.4510999999999998</v>
      </c>
      <c r="BZ131" s="13">
        <v>2.27</v>
      </c>
      <c r="CA131" s="13">
        <v>1.5182</v>
      </c>
      <c r="CB131" s="13">
        <v>9.0901999999999994</v>
      </c>
      <c r="CC131" s="12">
        <v>9.09</v>
      </c>
      <c r="CD131" s="12">
        <v>1.8623000000000001</v>
      </c>
      <c r="CE131" s="81">
        <v>1.0002</v>
      </c>
      <c r="CF131" s="12">
        <v>2.0002</v>
      </c>
      <c r="CG131" s="12">
        <v>0.99050000000000005</v>
      </c>
      <c r="CH131" s="12">
        <v>11.520200000000001</v>
      </c>
      <c r="CI131" s="13">
        <v>11.520200000000001</v>
      </c>
      <c r="CJ131" s="13">
        <v>0.2099</v>
      </c>
      <c r="CK131" s="13">
        <v>17.0002</v>
      </c>
      <c r="CL131" s="13">
        <v>17.0002</v>
      </c>
      <c r="CM131" s="13">
        <v>14.6501</v>
      </c>
      <c r="CN131" s="13">
        <v>0.34499999999999997</v>
      </c>
      <c r="CO131" s="13">
        <v>20.7502</v>
      </c>
      <c r="CP131" s="13">
        <v>19.000299999999999</v>
      </c>
      <c r="CQ131" s="13">
        <v>14.9703</v>
      </c>
    </row>
    <row r="132" spans="1:95" ht="15.75" x14ac:dyDescent="0.25">
      <c r="A132" s="32" t="s">
        <v>172</v>
      </c>
      <c r="B132" s="12"/>
      <c r="C132" s="12"/>
      <c r="D132" s="12"/>
      <c r="E132" s="12"/>
      <c r="F132" s="12"/>
      <c r="G132" s="12"/>
      <c r="H132" s="12">
        <v>12.7142</v>
      </c>
      <c r="I132" s="12">
        <v>0</v>
      </c>
      <c r="J132" s="12">
        <v>0</v>
      </c>
      <c r="K132" s="12">
        <v>28.745699999999999</v>
      </c>
      <c r="L132" s="12">
        <v>0</v>
      </c>
      <c r="M132" s="12">
        <v>0</v>
      </c>
      <c r="N132" s="12">
        <v>31.861999999999998</v>
      </c>
      <c r="O132" s="12">
        <v>0.84919999999999995</v>
      </c>
      <c r="P132" s="12">
        <v>2.665243864164208</v>
      </c>
      <c r="Q132" s="12">
        <v>21.835100000000001</v>
      </c>
      <c r="R132" s="12">
        <v>0.68689999999999996</v>
      </c>
      <c r="S132" s="12">
        <v>3.1458523203465973</v>
      </c>
      <c r="T132" s="12">
        <v>32.005200000000002</v>
      </c>
      <c r="U132" s="12">
        <v>1.25</v>
      </c>
      <c r="V132" s="12">
        <v>3.9056153375076548</v>
      </c>
      <c r="W132" s="12">
        <v>34.056699999999999</v>
      </c>
      <c r="X132" s="12">
        <v>0.71</v>
      </c>
      <c r="Y132" s="12">
        <v>2.0847586524824777</v>
      </c>
      <c r="Z132" s="12">
        <v>31.369</v>
      </c>
      <c r="AA132" s="12">
        <v>0.7</v>
      </c>
      <c r="AB132" s="12">
        <v>2.2315024387133793</v>
      </c>
      <c r="AC132" s="12">
        <v>35.708500000000001</v>
      </c>
      <c r="AD132" s="12">
        <v>1.2958000000000001</v>
      </c>
      <c r="AE132" s="12">
        <v>3.628827870114959</v>
      </c>
      <c r="AF132" s="12">
        <v>28.8368</v>
      </c>
      <c r="AG132" s="12">
        <v>1.1658999999999999</v>
      </c>
      <c r="AH132" s="12">
        <v>4.0430977084836037</v>
      </c>
      <c r="AI132" s="12">
        <v>24.723399999999998</v>
      </c>
      <c r="AJ132" s="12">
        <v>0.83030000000000004</v>
      </c>
      <c r="AK132" s="12">
        <v>3.3583568603023863</v>
      </c>
      <c r="AL132" s="12">
        <v>17.3047</v>
      </c>
      <c r="AM132" s="12">
        <v>2.0478000000000001</v>
      </c>
      <c r="AN132" s="12">
        <v>11.833779262281345</v>
      </c>
      <c r="AO132" s="12">
        <v>42.197099999999999</v>
      </c>
      <c r="AP132" s="12">
        <v>2.0478000000000001</v>
      </c>
      <c r="AQ132" s="12">
        <v>4.8529401309568669</v>
      </c>
      <c r="AR132" s="12">
        <v>36.461100000000002</v>
      </c>
      <c r="AS132" s="12">
        <v>0.65</v>
      </c>
      <c r="AT132" s="12">
        <v>1.7827218597354439</v>
      </c>
      <c r="AU132" s="12">
        <v>26.358799999999999</v>
      </c>
      <c r="AV132" s="12">
        <v>0.61799999999999999</v>
      </c>
      <c r="AW132" s="12">
        <v>2.3445680379986951</v>
      </c>
      <c r="AX132" s="12">
        <v>85.652000000000001</v>
      </c>
      <c r="AY132" s="12">
        <v>11.11</v>
      </c>
      <c r="AZ132" s="12">
        <v>12.97109232709102</v>
      </c>
      <c r="BA132" s="12">
        <v>63.522500000000001</v>
      </c>
      <c r="BB132" s="12">
        <v>5.83</v>
      </c>
      <c r="BC132" s="12">
        <v>9.1778503679798487</v>
      </c>
      <c r="BD132" s="12">
        <v>54.196100000000001</v>
      </c>
      <c r="BE132" s="12">
        <v>54.196100000000001</v>
      </c>
      <c r="BF132" s="81">
        <v>4.6517999999999997</v>
      </c>
      <c r="BG132" s="12">
        <v>85.113799999999998</v>
      </c>
      <c r="BH132" s="12">
        <v>23.491499999999998</v>
      </c>
      <c r="BI132" s="12">
        <v>27.600107150661817</v>
      </c>
      <c r="BJ132" s="12">
        <v>40.363700000000001</v>
      </c>
      <c r="BK132" s="12">
        <v>8.4298999999999999</v>
      </c>
      <c r="BL132" s="12">
        <v>20.884854460815038</v>
      </c>
      <c r="BM132" s="12">
        <v>27.459499999999998</v>
      </c>
      <c r="BN132" s="12">
        <v>3.3555999999999999</v>
      </c>
      <c r="BO132" s="52">
        <v>12.220178808791129</v>
      </c>
      <c r="BP132" s="12">
        <v>11.6449</v>
      </c>
      <c r="BQ132" s="12">
        <v>9.7634000000000007</v>
      </c>
      <c r="BR132" s="12">
        <v>7.5980999999999996</v>
      </c>
      <c r="BS132" s="12">
        <v>16.797999999999998</v>
      </c>
      <c r="BT132" s="12">
        <v>10.1219</v>
      </c>
      <c r="BU132" s="12">
        <v>7.2416999999999998</v>
      </c>
      <c r="BV132" s="12">
        <v>18.183800000000002</v>
      </c>
      <c r="BW132" s="81">
        <v>9.2752999999999997</v>
      </c>
      <c r="BX132" s="13">
        <v>4.9234</v>
      </c>
      <c r="BY132" s="109">
        <v>16.4057</v>
      </c>
      <c r="BZ132" s="13">
        <v>10.265000000000001</v>
      </c>
      <c r="CA132" s="13">
        <v>6.9897</v>
      </c>
      <c r="CB132" s="13">
        <v>115.8126</v>
      </c>
      <c r="CC132" s="12">
        <v>12.6951</v>
      </c>
      <c r="CD132" s="12">
        <v>6.5880999999999998</v>
      </c>
      <c r="CE132" s="81">
        <v>34.380899999999997</v>
      </c>
      <c r="CF132" s="12">
        <v>20.586099999999998</v>
      </c>
      <c r="CG132" s="12">
        <v>13.238300000000001</v>
      </c>
      <c r="CH132" s="12">
        <v>9.0945999999999998</v>
      </c>
      <c r="CI132" s="13">
        <v>8.0231999999999992</v>
      </c>
      <c r="CJ132" s="13">
        <v>3.8264999999999998</v>
      </c>
      <c r="CK132" s="13">
        <v>5.3924000000000003</v>
      </c>
      <c r="CL132" s="13">
        <v>5.3924000000000003</v>
      </c>
      <c r="CM132" s="13">
        <f>0.3361+0.0001+1.3164</f>
        <v>1.6526000000000001</v>
      </c>
      <c r="CN132" s="13">
        <f>0.336+0.5472</f>
        <v>0.88319999999999999</v>
      </c>
      <c r="CO132" s="13">
        <f>23.0113+0.0001+1.2026</f>
        <v>24.213999999999999</v>
      </c>
      <c r="CP132" s="13">
        <f>23.0113+0.0001+0.7678</f>
        <v>23.779199999999999</v>
      </c>
      <c r="CQ132" s="13">
        <f>0.0002+0.0001+0.2003</f>
        <v>0.2006</v>
      </c>
    </row>
    <row r="133" spans="1:95" ht="15.75" x14ac:dyDescent="0.25">
      <c r="A133" s="33" t="s">
        <v>173</v>
      </c>
      <c r="B133" s="20"/>
      <c r="C133" s="20"/>
      <c r="D133" s="20"/>
      <c r="E133" s="20"/>
      <c r="F133" s="20"/>
      <c r="G133" s="20"/>
      <c r="H133" s="20">
        <v>29.598700000000001</v>
      </c>
      <c r="I133" s="20">
        <v>0</v>
      </c>
      <c r="J133" s="20">
        <v>0</v>
      </c>
      <c r="K133" s="20">
        <v>51.225899999999996</v>
      </c>
      <c r="L133" s="20">
        <v>0</v>
      </c>
      <c r="M133" s="20">
        <v>0</v>
      </c>
      <c r="N133" s="20">
        <v>52.446299999999994</v>
      </c>
      <c r="O133" s="20">
        <v>5.1391</v>
      </c>
      <c r="P133" s="20">
        <v>9.7987846616443885</v>
      </c>
      <c r="Q133" s="20">
        <v>42.003399999999999</v>
      </c>
      <c r="R133" s="20">
        <v>4.9698000000000002</v>
      </c>
      <c r="S133" s="20">
        <v>11.831899322435802</v>
      </c>
      <c r="T133" s="20">
        <v>49.500300000000003</v>
      </c>
      <c r="U133" s="20">
        <v>4.25</v>
      </c>
      <c r="V133" s="20">
        <v>8.5858065506673693</v>
      </c>
      <c r="W133" s="20">
        <v>54.790399999999998</v>
      </c>
      <c r="X133" s="20">
        <v>3.71</v>
      </c>
      <c r="Y133" s="20">
        <v>6.771259198691741</v>
      </c>
      <c r="Z133" s="20">
        <v>51.887599999999999</v>
      </c>
      <c r="AA133" s="20">
        <v>3.6993</v>
      </c>
      <c r="AB133" s="20">
        <v>7.1294490398476711</v>
      </c>
      <c r="AC133" s="20">
        <v>58.000599999999999</v>
      </c>
      <c r="AD133" s="20">
        <v>6.6665000000000001</v>
      </c>
      <c r="AE133" s="20">
        <v>11.493846615379841</v>
      </c>
      <c r="AF133" s="20">
        <v>53.180399999999999</v>
      </c>
      <c r="AG133" s="20">
        <v>6.6665000000000001</v>
      </c>
      <c r="AH133" s="20">
        <v>12.535633428857249</v>
      </c>
      <c r="AI133" s="20">
        <v>43.770499999999998</v>
      </c>
      <c r="AJ133" s="20">
        <v>4.3215000000000003</v>
      </c>
      <c r="AK133" s="20">
        <v>9.8730880387475608</v>
      </c>
      <c r="AL133" s="20">
        <v>42.000599999999999</v>
      </c>
      <c r="AM133" s="20">
        <v>7.12</v>
      </c>
      <c r="AN133" s="20">
        <v>16.952138778969825</v>
      </c>
      <c r="AO133" s="20">
        <v>66.9529</v>
      </c>
      <c r="AP133" s="20">
        <v>7.12</v>
      </c>
      <c r="AQ133" s="20">
        <v>10.634341454963115</v>
      </c>
      <c r="AR133" s="20">
        <v>61.115000000000002</v>
      </c>
      <c r="AS133" s="20">
        <v>5.7222</v>
      </c>
      <c r="AT133" s="20">
        <v>9.3630041724617517</v>
      </c>
      <c r="AU133" s="20">
        <v>43.323099999999997</v>
      </c>
      <c r="AV133" s="20">
        <v>2.2782</v>
      </c>
      <c r="AW133" s="20">
        <v>5.2586264602486903</v>
      </c>
      <c r="AX133" s="20">
        <v>136.4736</v>
      </c>
      <c r="AY133" s="20">
        <v>22.728499999999997</v>
      </c>
      <c r="AZ133" s="20">
        <v>16.654136770774709</v>
      </c>
      <c r="BA133" s="20">
        <v>131.0445</v>
      </c>
      <c r="BB133" s="20">
        <v>15.1</v>
      </c>
      <c r="BC133" s="20">
        <v>11.522803322535474</v>
      </c>
      <c r="BD133" s="20">
        <v>5.214100000000002</v>
      </c>
      <c r="BE133" s="20">
        <v>120.6609</v>
      </c>
      <c r="BF133" s="20">
        <v>2314.1270784986855</v>
      </c>
      <c r="BG133" s="20">
        <v>154.81889999999999</v>
      </c>
      <c r="BH133" s="20">
        <v>34.591499999999996</v>
      </c>
      <c r="BI133" s="20">
        <v>22.343202283442139</v>
      </c>
      <c r="BJ133" s="20">
        <v>133.59350000000001</v>
      </c>
      <c r="BK133" s="20">
        <v>30.023499999999999</v>
      </c>
      <c r="BL133" s="20">
        <v>22.473773050335531</v>
      </c>
      <c r="BM133" s="20">
        <v>498.85109999999997</v>
      </c>
      <c r="BN133" s="20">
        <v>87.051599999999993</v>
      </c>
      <c r="BO133" s="20">
        <v>17.450417569491176</v>
      </c>
      <c r="BP133" s="20">
        <v>29.152999999999999</v>
      </c>
      <c r="BQ133" s="20">
        <v>70.450500000000005</v>
      </c>
      <c r="BR133" s="20">
        <v>26.933699999999998</v>
      </c>
      <c r="BS133" s="20">
        <v>32.068100000000001</v>
      </c>
      <c r="BT133" s="20">
        <v>20.6235</v>
      </c>
      <c r="BU133" s="20">
        <v>13.946400000000001</v>
      </c>
      <c r="BV133" s="20">
        <v>27.183800000000002</v>
      </c>
      <c r="BW133" s="89">
        <v>11.262499999999999</v>
      </c>
      <c r="BX133" s="89">
        <v>6.7111000000000001</v>
      </c>
      <c r="BY133" s="89">
        <v>18.8568</v>
      </c>
      <c r="BZ133" s="89">
        <v>12.535</v>
      </c>
      <c r="CA133" s="89">
        <v>8.5078999999999994</v>
      </c>
      <c r="CB133" s="89">
        <v>124.9028</v>
      </c>
      <c r="CC133" s="89">
        <v>21.7851</v>
      </c>
      <c r="CD133" s="89">
        <v>8.4504000000000001</v>
      </c>
      <c r="CE133" s="89">
        <v>35.381099999999996</v>
      </c>
      <c r="CF133" s="20">
        <v>22.586299999999998</v>
      </c>
      <c r="CG133" s="20">
        <v>14.228800000000001</v>
      </c>
      <c r="CH133" s="20">
        <v>20.614800000000002</v>
      </c>
      <c r="CI133" s="20">
        <v>19.543399999999998</v>
      </c>
      <c r="CJ133" s="20">
        <f>SUM(CJ131:CJ132)</f>
        <v>4.0363999999999995</v>
      </c>
      <c r="CK133" s="20">
        <v>22.392600000000002</v>
      </c>
      <c r="CL133" s="21">
        <v>22.392600000000002</v>
      </c>
      <c r="CM133" s="21">
        <f>SUM(CM131:CM132)</f>
        <v>16.302700000000002</v>
      </c>
      <c r="CN133" s="21">
        <f>SUM(CN131:CN132)</f>
        <v>1.2282</v>
      </c>
      <c r="CO133" s="21">
        <f>SUM(CO131:CO132)</f>
        <v>44.964199999999998</v>
      </c>
      <c r="CP133" s="21">
        <f>SUM(CP131:CP132)</f>
        <v>42.779499999999999</v>
      </c>
      <c r="CQ133" s="21">
        <f>SUM(CQ131:CQ132)</f>
        <v>15.1709</v>
      </c>
    </row>
    <row r="134" spans="1:95" ht="15.75" x14ac:dyDescent="0.25">
      <c r="A134" s="33" t="s">
        <v>174</v>
      </c>
      <c r="B134" s="20"/>
      <c r="C134" s="20"/>
      <c r="D134" s="20"/>
      <c r="E134" s="20"/>
      <c r="F134" s="20"/>
      <c r="G134" s="20"/>
      <c r="H134" s="20">
        <v>0</v>
      </c>
      <c r="I134" s="20">
        <v>0</v>
      </c>
      <c r="J134" s="20">
        <v>0</v>
      </c>
      <c r="K134" s="20">
        <v>1.9241999999999999</v>
      </c>
      <c r="L134" s="20">
        <v>0</v>
      </c>
      <c r="M134" s="20">
        <v>0</v>
      </c>
      <c r="N134" s="20">
        <v>2.4780000000000002</v>
      </c>
      <c r="O134" s="20">
        <v>0.34</v>
      </c>
      <c r="P134" s="20">
        <v>13.720742534301856</v>
      </c>
      <c r="Q134" s="20">
        <v>1.8463000000000001</v>
      </c>
      <c r="R134" s="20">
        <v>0.32540000000000002</v>
      </c>
      <c r="S134" s="20">
        <v>17.624438065319829</v>
      </c>
      <c r="T134" s="20">
        <v>4</v>
      </c>
      <c r="U134" s="20">
        <v>0.68</v>
      </c>
      <c r="V134" s="20">
        <v>17</v>
      </c>
      <c r="W134" s="20">
        <v>8.67</v>
      </c>
      <c r="X134" s="20">
        <v>0.68</v>
      </c>
      <c r="Y134" s="20">
        <v>7.8431372549019622</v>
      </c>
      <c r="Z134" s="20">
        <v>10.2042</v>
      </c>
      <c r="AA134" s="20">
        <v>0.6</v>
      </c>
      <c r="AB134" s="20">
        <v>5.8799317927912034</v>
      </c>
      <c r="AC134" s="20">
        <v>8</v>
      </c>
      <c r="AD134" s="20">
        <v>1.66</v>
      </c>
      <c r="AE134" s="20">
        <v>20.75</v>
      </c>
      <c r="AF134" s="20">
        <v>9.8002000000000002</v>
      </c>
      <c r="AG134" s="20">
        <v>1.76</v>
      </c>
      <c r="AH134" s="20">
        <v>17.958817166996592</v>
      </c>
      <c r="AI134" s="20">
        <v>8.8148999999999997</v>
      </c>
      <c r="AJ134" s="20">
        <v>1.6224000000000001</v>
      </c>
      <c r="AK134" s="20">
        <v>18.405200285879591</v>
      </c>
      <c r="AL134" s="20">
        <v>2.5</v>
      </c>
      <c r="AM134" s="20">
        <v>0.45</v>
      </c>
      <c r="AN134" s="20">
        <v>18</v>
      </c>
      <c r="AO134" s="20">
        <v>2.9889000000000001</v>
      </c>
      <c r="AP134" s="20">
        <v>0.45</v>
      </c>
      <c r="AQ134" s="20">
        <v>15.055706112616681</v>
      </c>
      <c r="AR134" s="20">
        <v>2.9801000000000002</v>
      </c>
      <c r="AS134" s="20">
        <v>0.22500000000000001</v>
      </c>
      <c r="AT134" s="20">
        <v>7.5500822120063082</v>
      </c>
      <c r="AU134" s="20">
        <v>2.5687000000000002</v>
      </c>
      <c r="AV134" s="20">
        <v>0</v>
      </c>
      <c r="AW134" s="20">
        <v>0</v>
      </c>
      <c r="AX134" s="20">
        <v>8.0000999999999998</v>
      </c>
      <c r="AY134" s="20">
        <v>0.45</v>
      </c>
      <c r="AZ134" s="20">
        <v>5.624929688378896</v>
      </c>
      <c r="BA134" s="20">
        <v>51.2515</v>
      </c>
      <c r="BB134" s="20">
        <v>0.45</v>
      </c>
      <c r="BC134" s="20">
        <v>0.87802308225125114</v>
      </c>
      <c r="BD134" s="20">
        <v>42.410200000000003</v>
      </c>
      <c r="BE134" s="20">
        <v>0.224</v>
      </c>
      <c r="BF134" s="20">
        <v>0.52817482586736209</v>
      </c>
      <c r="BG134" s="20">
        <v>30</v>
      </c>
      <c r="BH134" s="20">
        <v>0.45</v>
      </c>
      <c r="BI134" s="20">
        <v>1.5000000000000002</v>
      </c>
      <c r="BJ134" s="20">
        <v>25</v>
      </c>
      <c r="BK134" s="20">
        <v>0.70489999999999997</v>
      </c>
      <c r="BL134" s="20">
        <v>2.8195999999999999</v>
      </c>
      <c r="BM134" s="20">
        <v>24.205400000000001</v>
      </c>
      <c r="BN134" s="20">
        <v>0.69340000000000002</v>
      </c>
      <c r="BO134" s="20">
        <v>2.8646500367686549</v>
      </c>
      <c r="BP134" s="20">
        <v>7.2</v>
      </c>
      <c r="BQ134" s="20">
        <v>12.6</v>
      </c>
      <c r="BR134" s="20">
        <v>13.685</v>
      </c>
      <c r="BS134" s="20">
        <v>0.48599999999999999</v>
      </c>
      <c r="BT134" s="20">
        <v>2.7477</v>
      </c>
      <c r="BU134" s="20">
        <v>4.202</v>
      </c>
      <c r="BV134" s="20">
        <v>5.4</v>
      </c>
      <c r="BW134" s="89">
        <v>5.3249000000000004</v>
      </c>
      <c r="BX134" s="21">
        <v>5.3734999999999999</v>
      </c>
      <c r="BY134" s="111">
        <v>4.0242000000000004</v>
      </c>
      <c r="BZ134" s="21">
        <v>3.5874999999999999</v>
      </c>
      <c r="CA134" s="21">
        <v>3.4826999999999999</v>
      </c>
      <c r="CB134" s="21">
        <v>3.06</v>
      </c>
      <c r="CC134" s="20">
        <v>2.8235000000000001</v>
      </c>
      <c r="CD134" s="20">
        <v>1.8322000000000001</v>
      </c>
      <c r="CE134" s="89">
        <v>2.1423999999999999</v>
      </c>
      <c r="CF134" s="20">
        <v>4.07</v>
      </c>
      <c r="CG134" s="20">
        <v>3.9569000000000001</v>
      </c>
      <c r="CH134" s="20">
        <v>7.38</v>
      </c>
      <c r="CI134" s="21">
        <v>18.25</v>
      </c>
      <c r="CJ134" s="21">
        <v>18.223199999999999</v>
      </c>
      <c r="CK134" s="21">
        <v>6.5</v>
      </c>
      <c r="CL134" s="21">
        <v>10.75</v>
      </c>
      <c r="CM134" s="21">
        <v>13.23</v>
      </c>
      <c r="CN134" s="21">
        <v>12.427899999999999</v>
      </c>
      <c r="CO134" s="21">
        <v>9.9</v>
      </c>
      <c r="CP134" s="21">
        <v>5.52</v>
      </c>
      <c r="CQ134" s="21">
        <v>22.5732</v>
      </c>
    </row>
    <row r="135" spans="1:95" ht="15.75" x14ac:dyDescent="0.25">
      <c r="A135" s="33" t="s">
        <v>175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>
        <v>27</v>
      </c>
      <c r="R135" s="20">
        <v>0</v>
      </c>
      <c r="S135" s="20">
        <v>0</v>
      </c>
      <c r="T135" s="20"/>
      <c r="U135" s="20"/>
      <c r="V135" s="20"/>
      <c r="W135" s="20">
        <v>38.001800000000003</v>
      </c>
      <c r="X135" s="20">
        <v>0</v>
      </c>
      <c r="Y135" s="20">
        <v>0</v>
      </c>
      <c r="Z135" s="20">
        <v>28.757899999999999</v>
      </c>
      <c r="AA135" s="20">
        <v>0</v>
      </c>
      <c r="AB135" s="20">
        <v>0</v>
      </c>
      <c r="AC135" s="20">
        <v>25.002300000000002</v>
      </c>
      <c r="AD135" s="20">
        <v>4.165</v>
      </c>
      <c r="AE135" s="20">
        <v>16.658467420997265</v>
      </c>
      <c r="AF135" s="20">
        <v>30.063300000000002</v>
      </c>
      <c r="AG135" s="20">
        <v>0.20050000000000001</v>
      </c>
      <c r="AH135" s="20">
        <v>0.66692611922177536</v>
      </c>
      <c r="AI135" s="20">
        <v>15.8725</v>
      </c>
      <c r="AJ135" s="20">
        <v>0</v>
      </c>
      <c r="AK135" s="20">
        <v>0</v>
      </c>
      <c r="AL135" s="20">
        <v>68.998699999999999</v>
      </c>
      <c r="AM135" s="20">
        <v>3.8</v>
      </c>
      <c r="AN135" s="20">
        <v>5.5073501384808692</v>
      </c>
      <c r="AO135" s="20">
        <v>153.9991</v>
      </c>
      <c r="AP135" s="20">
        <v>3.8</v>
      </c>
      <c r="AQ135" s="20">
        <v>2.467546888261035</v>
      </c>
      <c r="AR135" s="20">
        <v>195.7217</v>
      </c>
      <c r="AS135" s="20">
        <v>6.86</v>
      </c>
      <c r="AT135" s="20">
        <v>3.5049767092764883</v>
      </c>
      <c r="AU135" s="20">
        <v>123.0331</v>
      </c>
      <c r="AV135" s="20">
        <v>3.4594999999999998</v>
      </c>
      <c r="AW135" s="20">
        <v>2.8118449425398531</v>
      </c>
      <c r="AX135" s="20">
        <v>142.50309999999999</v>
      </c>
      <c r="AY135" s="20">
        <v>1E-4</v>
      </c>
      <c r="AZ135" s="20">
        <v>7.0173912006124789E-5</v>
      </c>
      <c r="BA135" s="20">
        <v>80.7928</v>
      </c>
      <c r="BB135" s="20">
        <v>4.9410999999999996</v>
      </c>
      <c r="BC135" s="20">
        <v>6.1157677416799512</v>
      </c>
      <c r="BD135" s="20">
        <v>58.122799999999998</v>
      </c>
      <c r="BE135" s="20">
        <v>4.2496</v>
      </c>
      <c r="BF135" s="20">
        <v>7.3114165181305788</v>
      </c>
      <c r="BG135" s="20">
        <v>162.5027</v>
      </c>
      <c r="BH135" s="20">
        <v>2.1880000000000002</v>
      </c>
      <c r="BI135" s="20">
        <v>1.34643916685692</v>
      </c>
      <c r="BJ135" s="20">
        <v>182.70869999999999</v>
      </c>
      <c r="BK135" s="20">
        <v>10.877700000000001</v>
      </c>
      <c r="BL135" s="20">
        <v>5.9535752813084448</v>
      </c>
      <c r="BM135" s="20">
        <v>94.577600000000004</v>
      </c>
      <c r="BN135" s="20">
        <v>2.3751000000000002</v>
      </c>
      <c r="BO135" s="20">
        <v>2.5112711678029473</v>
      </c>
      <c r="BP135" s="20">
        <v>3.5659999999999998</v>
      </c>
      <c r="BQ135" s="20">
        <v>89.422499999999999</v>
      </c>
      <c r="BR135" s="20">
        <v>8.0289999999999999</v>
      </c>
      <c r="BS135" s="20">
        <v>5.3490000000000002</v>
      </c>
      <c r="BT135" s="20">
        <v>21.4</v>
      </c>
      <c r="BU135" s="20">
        <v>19.4008</v>
      </c>
      <c r="BV135" s="20">
        <v>10.7</v>
      </c>
      <c r="BW135" s="89">
        <v>31.450900000000001</v>
      </c>
      <c r="BX135" s="21">
        <v>19.939299999999999</v>
      </c>
      <c r="BY135" s="111">
        <v>31.743300000000001</v>
      </c>
      <c r="BZ135" s="21">
        <v>65.248400000000004</v>
      </c>
      <c r="CA135" s="21">
        <v>65.248400000000004</v>
      </c>
      <c r="CB135" s="21">
        <v>10.698</v>
      </c>
      <c r="CC135" s="20">
        <v>0.21</v>
      </c>
      <c r="CD135" s="20">
        <v>100</v>
      </c>
      <c r="CE135" s="89">
        <v>1E-4</v>
      </c>
      <c r="CF135" s="20">
        <v>93.493600000000001</v>
      </c>
      <c r="CG135" s="20">
        <v>0</v>
      </c>
      <c r="CH135" s="20">
        <v>1E-4</v>
      </c>
      <c r="CI135" s="21">
        <v>0</v>
      </c>
      <c r="CJ135" s="21">
        <v>0</v>
      </c>
      <c r="CK135" s="21">
        <v>0</v>
      </c>
      <c r="CL135" s="21">
        <v>0</v>
      </c>
      <c r="CM135" s="21">
        <v>0.8</v>
      </c>
      <c r="CN135" s="21">
        <v>0.8</v>
      </c>
      <c r="CO135" s="21">
        <v>0.8</v>
      </c>
      <c r="CP135" s="21">
        <v>0.8</v>
      </c>
      <c r="CQ135" s="21">
        <v>0.8</v>
      </c>
    </row>
    <row r="136" spans="1:95" ht="15.75" x14ac:dyDescent="0.25">
      <c r="A136" s="33" t="s">
        <v>176</v>
      </c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>
        <v>18.947299999999998</v>
      </c>
      <c r="R136" s="20">
        <v>0</v>
      </c>
      <c r="S136" s="20">
        <v>0</v>
      </c>
      <c r="T136" s="20"/>
      <c r="U136" s="20"/>
      <c r="V136" s="20"/>
      <c r="W136" s="20">
        <v>15.2342</v>
      </c>
      <c r="X136" s="20">
        <v>0</v>
      </c>
      <c r="Y136" s="20">
        <v>0</v>
      </c>
      <c r="Z136" s="20">
        <v>14.2544</v>
      </c>
      <c r="AA136" s="20">
        <v>0</v>
      </c>
      <c r="AB136" s="20">
        <v>0</v>
      </c>
      <c r="AC136" s="20">
        <v>10.1685</v>
      </c>
      <c r="AD136" s="20">
        <v>0.71150000000000002</v>
      </c>
      <c r="AE136" s="20">
        <v>6.9970988838078378</v>
      </c>
      <c r="AF136" s="20">
        <v>12.79</v>
      </c>
      <c r="AG136" s="20">
        <v>0.89970000000000006</v>
      </c>
      <c r="AH136" s="20">
        <v>7.0344018764659904</v>
      </c>
      <c r="AI136" s="20">
        <v>9.1205999999999996</v>
      </c>
      <c r="AJ136" s="20">
        <v>0.45550000000000002</v>
      </c>
      <c r="AK136" s="20">
        <v>4.9941889787952558</v>
      </c>
      <c r="AL136" s="20">
        <v>13.032299999999999</v>
      </c>
      <c r="AM136" s="20">
        <v>0.64529999999999998</v>
      </c>
      <c r="AN136" s="20">
        <v>4.9515434727561525</v>
      </c>
      <c r="AO136" s="20">
        <v>14.5123</v>
      </c>
      <c r="AP136" s="20">
        <v>0.64529999999999998</v>
      </c>
      <c r="AQ136" s="20">
        <v>4.4465729071201672</v>
      </c>
      <c r="AR136" s="20">
        <v>9.5501000000000005</v>
      </c>
      <c r="AS136" s="20">
        <v>0.36630000000000001</v>
      </c>
      <c r="AT136" s="20">
        <v>3.8355619312886771</v>
      </c>
      <c r="AU136" s="20">
        <v>4.6638999999999999</v>
      </c>
      <c r="AV136" s="20">
        <v>0.14119999999999999</v>
      </c>
      <c r="AW136" s="20">
        <v>3.0275091661485023</v>
      </c>
      <c r="AX136" s="20">
        <v>18.822900000000001</v>
      </c>
      <c r="AY136" s="20">
        <v>0.871</v>
      </c>
      <c r="AZ136" s="20">
        <v>4.6273422267557072</v>
      </c>
      <c r="BA136" s="20">
        <v>16.9405</v>
      </c>
      <c r="BB136" s="20">
        <v>0.87090000000000001</v>
      </c>
      <c r="BC136" s="20">
        <v>5.1409344470352112</v>
      </c>
      <c r="BD136" s="20">
        <v>10.0098</v>
      </c>
      <c r="BE136" s="20">
        <v>4.2700000000000002E-2</v>
      </c>
      <c r="BF136" s="20">
        <v>0.42658194968930446</v>
      </c>
      <c r="BG136" s="20">
        <v>31.354600000000001</v>
      </c>
      <c r="BH136" s="20">
        <v>5.4717000000000002</v>
      </c>
      <c r="BI136" s="20">
        <v>17.451027919348359</v>
      </c>
      <c r="BJ136" s="20">
        <v>19.1327</v>
      </c>
      <c r="BK136" s="20">
        <v>3.6829999999999998</v>
      </c>
      <c r="BL136" s="20">
        <v>19.249766107240482</v>
      </c>
      <c r="BM136" s="20">
        <v>8.8237000000000005</v>
      </c>
      <c r="BN136" s="20">
        <v>9.5000000000000001E-2</v>
      </c>
      <c r="BO136" s="20">
        <v>1.0766458515135373</v>
      </c>
      <c r="BP136" s="20">
        <v>4.7435999999999998</v>
      </c>
      <c r="BQ136" s="20">
        <v>1.0952</v>
      </c>
      <c r="BR136" s="20">
        <v>0.66669999999999996</v>
      </c>
      <c r="BS136" s="20">
        <v>5.2126000000000001</v>
      </c>
      <c r="BT136" s="20">
        <v>0.749</v>
      </c>
      <c r="BU136" s="21">
        <v>8.3000000000000004E-2</v>
      </c>
      <c r="BV136" s="20">
        <v>1.8575999999999999</v>
      </c>
      <c r="BW136" s="89">
        <v>0.18720000000000001</v>
      </c>
      <c r="BX136" s="21">
        <v>0.128</v>
      </c>
      <c r="BY136" s="111">
        <v>0.122</v>
      </c>
      <c r="BZ136" s="21">
        <v>6.5500000000000003E-2</v>
      </c>
      <c r="CA136" s="21">
        <v>0.03</v>
      </c>
      <c r="CB136" s="21">
        <v>0.26919999999999999</v>
      </c>
      <c r="CC136" s="20">
        <v>8.9999999999999998E-4</v>
      </c>
      <c r="CD136" s="20">
        <v>0</v>
      </c>
      <c r="CE136" s="89">
        <v>0.26919999999999999</v>
      </c>
      <c r="CF136" s="20">
        <v>0.22900000000000001</v>
      </c>
      <c r="CG136" s="20">
        <v>2.7900000000000001E-2</v>
      </c>
      <c r="CH136" s="20">
        <v>0.2492</v>
      </c>
      <c r="CI136" s="21">
        <v>0.128</v>
      </c>
      <c r="CJ136" s="21">
        <v>3.4000000000000002E-2</v>
      </c>
      <c r="CK136" s="21">
        <v>0.20319999999999999</v>
      </c>
      <c r="CL136" s="21">
        <v>0.20319999999999999</v>
      </c>
      <c r="CM136" s="21">
        <v>8.8999999999999996E-2</v>
      </c>
      <c r="CN136" s="21">
        <f>0.079</f>
        <v>7.9000000000000001E-2</v>
      </c>
      <c r="CO136" s="21">
        <v>0.67020000000000002</v>
      </c>
      <c r="CP136" s="21">
        <v>0.24759999999999999</v>
      </c>
      <c r="CQ136" s="21">
        <v>0.66120000000000001</v>
      </c>
    </row>
    <row r="137" spans="1:95" ht="15.75" x14ac:dyDescent="0.25">
      <c r="A137" s="2" t="s">
        <v>177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>
        <v>21.103100000000001</v>
      </c>
      <c r="R137" s="20">
        <v>0</v>
      </c>
      <c r="S137" s="20">
        <v>0</v>
      </c>
      <c r="T137" s="20"/>
      <c r="U137" s="20"/>
      <c r="V137" s="20"/>
      <c r="W137" s="20">
        <v>66.682599999999994</v>
      </c>
      <c r="X137" s="20">
        <v>0</v>
      </c>
      <c r="Y137" s="20">
        <v>0</v>
      </c>
      <c r="Z137" s="20">
        <v>66.702699999999993</v>
      </c>
      <c r="AA137" s="20">
        <v>0</v>
      </c>
      <c r="AB137" s="20">
        <v>0</v>
      </c>
      <c r="AC137" s="20">
        <v>22.275200000000002</v>
      </c>
      <c r="AD137" s="20">
        <v>0.26379999999999998</v>
      </c>
      <c r="AE137" s="20">
        <v>1.1842766843844272</v>
      </c>
      <c r="AF137" s="20">
        <v>48.073700000000002</v>
      </c>
      <c r="AG137" s="20">
        <v>0.26379999999999998</v>
      </c>
      <c r="AH137" s="20">
        <v>0.54874078758239941</v>
      </c>
      <c r="AI137" s="20">
        <v>47.914200000000001</v>
      </c>
      <c r="AJ137" s="20">
        <v>0.26379999999999998</v>
      </c>
      <c r="AK137" s="20">
        <v>0.550567472690768</v>
      </c>
      <c r="AL137" s="20">
        <v>20.173300000000001</v>
      </c>
      <c r="AM137" s="20">
        <v>3.0499999999999999E-2</v>
      </c>
      <c r="AN137" s="20">
        <v>0.15118993917703102</v>
      </c>
      <c r="AO137" s="20">
        <v>20.173200000000001</v>
      </c>
      <c r="AP137" s="20">
        <v>3.0499999999999999E-2</v>
      </c>
      <c r="AQ137" s="20">
        <v>0.15119068863640869</v>
      </c>
      <c r="AR137" s="20">
        <v>20.215499999999999</v>
      </c>
      <c r="AS137" s="20">
        <v>0</v>
      </c>
      <c r="AT137" s="20">
        <v>0</v>
      </c>
      <c r="AU137" s="20">
        <v>-81.642499999999998</v>
      </c>
      <c r="AV137" s="20">
        <v>0</v>
      </c>
      <c r="AW137" s="20">
        <v>0</v>
      </c>
      <c r="AX137" s="20">
        <v>0.27479999999999999</v>
      </c>
      <c r="AY137" s="20">
        <v>1E-4</v>
      </c>
      <c r="AZ137" s="20">
        <v>3.6390101892285302E-2</v>
      </c>
      <c r="BA137" s="20">
        <v>0.78500000000000003</v>
      </c>
      <c r="BB137" s="20">
        <v>1E-4</v>
      </c>
      <c r="BC137" s="20">
        <v>1.2738853503184712E-2</v>
      </c>
      <c r="BD137" s="20">
        <v>0.32269999999999999</v>
      </c>
      <c r="BE137" s="20">
        <v>0</v>
      </c>
      <c r="BF137" s="20">
        <v>0</v>
      </c>
      <c r="BG137" s="20">
        <v>1.9656</v>
      </c>
      <c r="BH137" s="20">
        <v>1E-4</v>
      </c>
      <c r="BI137" s="20">
        <v>5.0875050875050882E-3</v>
      </c>
      <c r="BJ137" s="20">
        <v>1.8236000000000001</v>
      </c>
      <c r="BK137" s="20">
        <v>0</v>
      </c>
      <c r="BL137" s="20">
        <v>0</v>
      </c>
      <c r="BM137" s="20">
        <v>1.4019999999999999</v>
      </c>
      <c r="BN137" s="20">
        <v>0</v>
      </c>
      <c r="BO137" s="20">
        <v>0</v>
      </c>
      <c r="BP137" s="20">
        <v>1E-4</v>
      </c>
      <c r="BQ137" s="20">
        <v>0</v>
      </c>
      <c r="BR137" s="20">
        <v>0</v>
      </c>
      <c r="BS137" s="20">
        <v>50.250100000000003</v>
      </c>
      <c r="BT137" s="20">
        <v>10</v>
      </c>
      <c r="BU137" s="21">
        <v>0</v>
      </c>
      <c r="BV137" s="20">
        <v>28.940200000000001</v>
      </c>
      <c r="BW137" s="97">
        <v>10.3</v>
      </c>
      <c r="BX137" s="21">
        <v>4.5789999999999997</v>
      </c>
      <c r="BY137" s="111">
        <v>30.0001</v>
      </c>
      <c r="BZ137" s="21">
        <v>15</v>
      </c>
      <c r="CA137" s="21">
        <v>14.9909</v>
      </c>
      <c r="CB137" s="21">
        <v>2.0000000000000001E-4</v>
      </c>
      <c r="CC137" s="20">
        <v>0.1</v>
      </c>
      <c r="CD137" s="20">
        <v>-6.9900000000000004E-2</v>
      </c>
      <c r="CE137" s="89">
        <v>0.20019999999999999</v>
      </c>
      <c r="CF137" s="20">
        <v>1.6</v>
      </c>
      <c r="CG137" s="20">
        <v>1.4</v>
      </c>
      <c r="CH137" s="20">
        <v>0.70020000000000004</v>
      </c>
      <c r="CI137" s="21">
        <v>0.7</v>
      </c>
      <c r="CJ137" s="21">
        <v>0.7</v>
      </c>
      <c r="CK137" s="21">
        <v>2.0000000000000001E-4</v>
      </c>
      <c r="CL137" s="21">
        <v>2.9999999999999997E-4</v>
      </c>
      <c r="CM137" s="21">
        <v>15.15</v>
      </c>
      <c r="CN137" s="21">
        <v>15.15</v>
      </c>
      <c r="CO137" s="21">
        <f>0.0002+15.15</f>
        <v>15.1502</v>
      </c>
      <c r="CP137" s="21">
        <v>15.15</v>
      </c>
      <c r="CQ137" s="21">
        <f>0.0002+0.0001</f>
        <v>3.0000000000000003E-4</v>
      </c>
    </row>
    <row r="138" spans="1:95" ht="15.75" x14ac:dyDescent="0.25">
      <c r="A138" s="2" t="s">
        <v>178</v>
      </c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>
        <v>0</v>
      </c>
      <c r="AJ138" s="20">
        <v>0</v>
      </c>
      <c r="AK138" s="20">
        <v>0</v>
      </c>
      <c r="AL138" s="20"/>
      <c r="AM138" s="20"/>
      <c r="AN138" s="20"/>
      <c r="AO138" s="20">
        <v>127.7003</v>
      </c>
      <c r="AP138" s="20">
        <v>17</v>
      </c>
      <c r="AQ138" s="20">
        <v>13.312419782882264</v>
      </c>
      <c r="AR138" s="20">
        <v>104.27509999999999</v>
      </c>
      <c r="AS138" s="20">
        <v>0</v>
      </c>
      <c r="AT138" s="20">
        <v>0</v>
      </c>
      <c r="AU138" s="20">
        <v>2.3839000000000001</v>
      </c>
      <c r="AV138" s="20">
        <v>0</v>
      </c>
      <c r="AW138" s="20">
        <v>0</v>
      </c>
      <c r="AX138" s="20">
        <v>53.227800000000002</v>
      </c>
      <c r="AY138" s="20">
        <v>9.1237999999999992</v>
      </c>
      <c r="AZ138" s="20">
        <v>17.141042838516711</v>
      </c>
      <c r="BA138" s="20">
        <v>1.3083</v>
      </c>
      <c r="BB138" s="20">
        <v>0.18</v>
      </c>
      <c r="BC138" s="20">
        <v>13.758312313689519</v>
      </c>
      <c r="BD138" s="20">
        <v>0.26529999999999998</v>
      </c>
      <c r="BE138" s="20">
        <v>0</v>
      </c>
      <c r="BF138" s="20">
        <v>0</v>
      </c>
      <c r="BG138" s="20">
        <v>28.212900000000001</v>
      </c>
      <c r="BH138" s="20">
        <v>4.9363999999999999</v>
      </c>
      <c r="BI138" s="20">
        <v>17.496960610217311</v>
      </c>
      <c r="BJ138" s="20">
        <v>8.5160999999999998</v>
      </c>
      <c r="BK138" s="20">
        <v>2.0000000000000001E-4</v>
      </c>
      <c r="BL138" s="20">
        <v>2.3484928547104901E-3</v>
      </c>
      <c r="BM138" s="20">
        <v>8.5076999999999998</v>
      </c>
      <c r="BN138" s="20">
        <v>1.456</v>
      </c>
      <c r="BO138" s="20">
        <v>17.113908576936186</v>
      </c>
      <c r="BP138" s="20">
        <v>2.6480000000000001</v>
      </c>
      <c r="BQ138" s="20">
        <v>2.6475</v>
      </c>
      <c r="BR138" s="20">
        <v>1.9736</v>
      </c>
      <c r="BS138" s="20">
        <v>2.9123999999999999</v>
      </c>
      <c r="BT138" s="20">
        <v>0.60229999999999995</v>
      </c>
      <c r="BU138" s="21">
        <v>0.25690000000000002</v>
      </c>
      <c r="BV138" s="20">
        <v>0.83040000000000003</v>
      </c>
      <c r="BW138" s="97">
        <v>0.53039999999999998</v>
      </c>
      <c r="BX138" s="21">
        <v>0.52039999999999997</v>
      </c>
      <c r="BY138" s="111">
        <v>0.25009999999999999</v>
      </c>
      <c r="BZ138" s="21">
        <v>6.1000000000000004E-3</v>
      </c>
      <c r="CA138" s="21">
        <v>0</v>
      </c>
      <c r="CB138" s="21">
        <v>0.15010000000000001</v>
      </c>
      <c r="CC138" s="20">
        <v>0.11</v>
      </c>
      <c r="CD138" s="20">
        <v>0</v>
      </c>
      <c r="CE138" s="89">
        <v>0.15</v>
      </c>
      <c r="CF138" s="20">
        <v>5.1000000000000004E-3</v>
      </c>
      <c r="CG138" s="20">
        <v>0</v>
      </c>
      <c r="CH138" s="20">
        <v>3.0099999999999998E-2</v>
      </c>
      <c r="CI138" s="21">
        <v>1.26E-2</v>
      </c>
      <c r="CJ138" s="21">
        <v>0</v>
      </c>
      <c r="CK138" s="21">
        <v>1.26E-2</v>
      </c>
      <c r="CL138" s="21">
        <v>1.26E-2</v>
      </c>
      <c r="CM138" s="21">
        <v>1E-4</v>
      </c>
      <c r="CN138" s="21">
        <v>0</v>
      </c>
      <c r="CO138" s="21">
        <v>2.9999999999999997E-4</v>
      </c>
      <c r="CP138" s="21">
        <v>2.9999999999999997E-4</v>
      </c>
      <c r="CQ138" s="21">
        <v>1.9099999999999999E-2</v>
      </c>
    </row>
    <row r="139" spans="1:95" ht="15.75" x14ac:dyDescent="0.25">
      <c r="A139" s="34" t="s">
        <v>179</v>
      </c>
      <c r="B139" s="27">
        <v>2601.4477000000002</v>
      </c>
      <c r="C139" s="27">
        <v>80.898600000000002</v>
      </c>
      <c r="D139" s="27">
        <v>3.1097530809479657</v>
      </c>
      <c r="E139" s="27">
        <v>3062.1896000000002</v>
      </c>
      <c r="F139" s="27">
        <v>96.589799999999997</v>
      </c>
      <c r="G139" s="27">
        <v>3.1542723546575955</v>
      </c>
      <c r="H139" s="27">
        <v>5913.8971000000001</v>
      </c>
      <c r="I139" s="27">
        <v>86.648200000000003</v>
      </c>
      <c r="J139" s="27">
        <v>1.4651624560731704</v>
      </c>
      <c r="K139" s="27">
        <v>7292.0953999999992</v>
      </c>
      <c r="L139" s="27">
        <v>254.41729999999998</v>
      </c>
      <c r="M139" s="27">
        <v>3.4889464007835116</v>
      </c>
      <c r="N139" s="27">
        <v>10727.545199999999</v>
      </c>
      <c r="O139" s="27">
        <v>805.92609999999979</v>
      </c>
      <c r="P139" s="27">
        <v>7.5126796016669299</v>
      </c>
      <c r="Q139" s="27">
        <v>10227.324600000002</v>
      </c>
      <c r="R139" s="27">
        <v>766.63959999999975</v>
      </c>
      <c r="S139" s="27">
        <v>7.4959936247647754</v>
      </c>
      <c r="T139" s="27">
        <v>11976.412300000002</v>
      </c>
      <c r="U139" s="27">
        <v>1215.3054999999999</v>
      </c>
      <c r="V139" s="27">
        <v>10.147492166748465</v>
      </c>
      <c r="W139" s="27">
        <v>14331.3974</v>
      </c>
      <c r="X139" s="27">
        <v>1228.6342</v>
      </c>
      <c r="Y139" s="27">
        <v>8.5730244281691608</v>
      </c>
      <c r="Z139" s="27">
        <v>13501.889300000001</v>
      </c>
      <c r="AA139" s="27">
        <v>1191.0274999999999</v>
      </c>
      <c r="AB139" s="27">
        <v>8.8211914165227228</v>
      </c>
      <c r="AC139" s="27">
        <v>15093.210299999999</v>
      </c>
      <c r="AD139" s="27">
        <v>1571.2619</v>
      </c>
      <c r="AE139" s="27">
        <v>10.410388968077919</v>
      </c>
      <c r="AF139" s="27">
        <v>17522.5661</v>
      </c>
      <c r="AG139" s="27">
        <v>1796.9133999999999</v>
      </c>
      <c r="AH139" s="27">
        <v>10.254853026349833</v>
      </c>
      <c r="AI139" s="27">
        <v>21074.789799999999</v>
      </c>
      <c r="AJ139" s="27">
        <v>1464.7323699999999</v>
      </c>
      <c r="AK139" s="27">
        <v>6.9501636025807487</v>
      </c>
      <c r="AL139" s="27">
        <v>18496.3485</v>
      </c>
      <c r="AM139" s="27">
        <v>1999.9529</v>
      </c>
      <c r="AN139" s="27">
        <v>10.81269040751476</v>
      </c>
      <c r="AO139" s="27">
        <v>28827.504400000002</v>
      </c>
      <c r="AP139" s="27">
        <v>2206.0650000000001</v>
      </c>
      <c r="AQ139" s="27">
        <v>7.6526395396196696</v>
      </c>
      <c r="AR139" s="27">
        <v>26376.657500000005</v>
      </c>
      <c r="AS139" s="27">
        <v>2493.7265000000002</v>
      </c>
      <c r="AT139" s="27">
        <v>9.4542930619620762</v>
      </c>
      <c r="AU139" s="27">
        <v>22216.793799999999</v>
      </c>
      <c r="AV139" s="27">
        <v>2084.1645000000003</v>
      </c>
      <c r="AW139" s="27">
        <v>9.3810318390766199</v>
      </c>
      <c r="AX139" s="27">
        <v>23283.675099999997</v>
      </c>
      <c r="AY139" s="27">
        <v>2705.7277000000004</v>
      </c>
      <c r="AZ139" s="27">
        <v>11.62070716233281</v>
      </c>
      <c r="BA139" s="27">
        <v>32370.6463</v>
      </c>
      <c r="BB139" s="27">
        <v>3354.3826999999992</v>
      </c>
      <c r="BC139" s="27">
        <v>10.362421154377751</v>
      </c>
      <c r="BD139" s="27">
        <v>29881.94360000001</v>
      </c>
      <c r="BE139" s="27">
        <v>3272.4934999999996</v>
      </c>
      <c r="BF139" s="27">
        <v>10.951407792630993</v>
      </c>
      <c r="BG139" s="36">
        <v>38523.908999999992</v>
      </c>
      <c r="BH139" s="36">
        <v>3283.5619000000006</v>
      </c>
      <c r="BI139" s="36">
        <v>8.5234390414534555</v>
      </c>
      <c r="BJ139" s="36">
        <v>34623.951799999995</v>
      </c>
      <c r="BK139" s="36">
        <v>4964.9661999999989</v>
      </c>
      <c r="BL139" s="36">
        <v>14.339686667424253</v>
      </c>
      <c r="BM139" s="36">
        <v>31208.828999999998</v>
      </c>
      <c r="BN139" s="36">
        <v>4689.9013000000004</v>
      </c>
      <c r="BO139" s="36">
        <v>15.027482447354885</v>
      </c>
      <c r="BP139" s="36">
        <f t="shared" ref="BP139" si="1">BP74+BP77+BP80+BP83+BP89+BP92+BP95+BP98+BP99+BP100+BP101+BP104+BP105+BP106+BP109+BP112+BP115+BP118+BP121+BP124+BP125+BP128+BP129+BP130+BP133+BP134+BP135+BP136+BP137+BP138</f>
        <v>5453.8992000000007</v>
      </c>
      <c r="BQ139" s="36">
        <f t="shared" ref="BQ139" si="2">BQ74+BQ77+BQ80+BQ83+BQ89+BQ92+BQ95+BQ98+BQ99+BQ100+BQ101+BQ104+BQ105+BQ106+BQ109+BQ112+BQ115+BQ118+BQ121+BQ124+BQ125+BQ128+BQ129+BQ130+BQ133+BQ134+BQ135+BQ136+BQ137+BQ138</f>
        <v>5458.6635000000006</v>
      </c>
      <c r="BR139" s="36">
        <f t="shared" ref="BR139" si="3">BR74+BR77+BR80+BR83+BR89+BR92+BR95+BR98+BR99+BR100+BR101+BR104+BR105+BR106+BR109+BR112+BR115+BR118+BR121+BR124+BR125+BR128+BR129+BR130+BR133+BR134+BR135+BR136+BR137+BR138</f>
        <v>5038.2659000000003</v>
      </c>
      <c r="BS139" s="36">
        <f t="shared" ref="BS139" si="4">BS74+BS77+BS80+BS83+BS89+BS92+BS95+BS98+BS99+BS100+BS101+BS104+BS105+BS106+BS109+BS112+BS115+BS118+BS121+BS124+BS125+BS128+BS129+BS130+BS133+BS134+BS135+BS136+BS137+BS138</f>
        <v>9577.0364000000009</v>
      </c>
      <c r="BT139" s="36">
        <f t="shared" ref="BT139" si="5">BT74+BT77+BT80+BT83+BT89+BT92+BT95+BT98+BT99+BT100+BT101+BT104+BT105+BT106+BT109+BT112+BT115+BT118+BT121+BT124+BT125+BT128+BT129+BT130+BT133+BT134+BT135+BT136+BT137+BT138</f>
        <v>9135.9675999999999</v>
      </c>
      <c r="BU139" s="36">
        <f t="shared" ref="BU139" si="6">BU74+BU77+BU80+BU83+BU89+BU92+BU95+BU98+BU99+BU100+BU101+BU104+BU105+BU106+BU109+BU112+BU115+BU118+BU121+BU124+BU125+BU128+BU129+BU130+BU133+BU134+BU135+BU136+BU137+BU138</f>
        <v>8964.7929000000004</v>
      </c>
      <c r="BV139" s="36">
        <f t="shared" ref="BV139" si="7">BV74+BV77+BV80+BV83+BV89+BV92+BV95+BV98+BV99+BV100+BV101+BV104+BV105+BV106+BV109+BV112+BV115+BV118+BV121+BV124+BV125+BV128+BV129+BV130+BV133+BV134+BV135+BV136+BV137+BV138</f>
        <v>8927.5701000000008</v>
      </c>
      <c r="BW139" s="36">
        <f t="shared" ref="BW139" si="8">BW74+BW77+BW80+BW83+BW89+BW92+BW95+BW98+BW99+BW100+BW101+BW104+BW105+BW106+BW109+BW112+BW115+BW118+BW121+BW124+BW125+BW128+BW129+BW130+BW133+BW134+BW135+BW136+BW137+BW138</f>
        <v>8809.4617999999991</v>
      </c>
      <c r="BX139" s="36">
        <f t="shared" ref="BX139" si="9">BX74+BX77+BX80+BX83+BX89+BX92+BX95+BX98+BX99+BX100+BX101+BX104+BX105+BX106+BX109+BX112+BX115+BX118+BX121+BX124+BX125+BX128+BX129+BX130+BX133+BX134+BX135+BX136+BX137+BX138</f>
        <v>8454.3327999999983</v>
      </c>
      <c r="BY139" s="36">
        <f t="shared" ref="BY139" si="10">BY74+BY77+BY80+BY83+BY89+BY92+BY95+BY98+BY99+BY100+BY101+BY104+BY105+BY106+BY109+BY112+BY115+BY118+BY121+BY124+BY125+BY128+BY129+BY130+BY133+BY134+BY135+BY136+BY137+BY138</f>
        <v>8359.408599999997</v>
      </c>
      <c r="BZ139" s="36">
        <f t="shared" ref="BZ139" si="11">BZ74+BZ77+BZ80+BZ83+BZ89+BZ92+BZ95+BZ98+BZ99+BZ100+BZ101+BZ104+BZ105+BZ106+BZ109+BZ112+BZ115+BZ118+BZ121+BZ124+BZ125+BZ128+BZ129+BZ130+BZ133+BZ134+BZ135+BZ136+BZ137+BZ138</f>
        <v>8321.8156000000017</v>
      </c>
      <c r="CA139" s="36">
        <f t="shared" ref="CA139" si="12">CA74+CA77+CA80+CA83+CA89+CA92+CA95+CA98+CA99+CA100+CA101+CA104+CA105+CA106+CA109+CA112+CA115+CA118+CA121+CA124+CA125+CA128+CA129+CA130+CA133+CA134+CA135+CA136+CA137+CA138</f>
        <v>7897.4858000000004</v>
      </c>
      <c r="CB139" s="36">
        <f t="shared" ref="CB139" si="13">CB74+CB77+CB80+CB83+CB89+CB92+CB95+CB98+CB99+CB100+CB101+CB104+CB105+CB106+CB109+CB112+CB115+CB118+CB121+CB124+CB125+CB128+CB129+CB130+CB133+CB134+CB135+CB136+CB137+CB138</f>
        <v>10189.300200000001</v>
      </c>
      <c r="CC139" s="36">
        <f t="shared" ref="CC139" si="14">CC74+CC77+CC80+CC83+CC89+CC92+CC95+CC98+CC99+CC100+CC101+CC104+CC105+CC106+CC109+CC112+CC115+CC118+CC121+CC124+CC125+CC128+CC129+CC130+CC133+CC134+CC135+CC136+CC137+CC138</f>
        <v>10783.130199999998</v>
      </c>
      <c r="CD139" s="36">
        <f t="shared" ref="CD139" si="15">CD74+CD77+CD80+CD83+CD89+CD92+CD95+CD98+CD99+CD100+CD101+CD104+CD105+CD106+CD109+CD112+CD115+CD118+CD121+CD124+CD125+CD128+CD129+CD130+CD133+CD134+CD135+CD136+CD137+CD138</f>
        <v>10346.0977</v>
      </c>
      <c r="CE139" s="36">
        <f t="shared" ref="CE139" si="16">CE74+CE77+CE80+CE83+CE89+CE92+CE95+CE98+CE99+CE100+CE101+CE104+CE105+CE106+CE109+CE112+CE115+CE118+CE121+CE124+CE125+CE128+CE129+CE130+CE133+CE134+CE135+CE136+CE137+CE138</f>
        <v>10190.260499999999</v>
      </c>
      <c r="CF139" s="36">
        <f t="shared" ref="CF139" si="17">CF74+CF77+CF80+CF83+CF89+CF92+CF95+CF98+CF99+CF100+CF101+CF104+CF105+CF106+CF109+CF112+CF115+CF118+CF121+CF124+CF125+CF128+CF129+CF130+CF133+CF134+CF135+CF136+CF137+CF138</f>
        <v>9658.0789000000004</v>
      </c>
      <c r="CG139" s="36">
        <f t="shared" ref="CG139" si="18">CG74+CG77+CG80+CG83+CG89+CG92+CG95+CG98+CG99+CG100+CG101+CG104+CG105+CG106+CG109+CG112+CG115+CG118+CG121+CG124+CG125+CG128+CG129+CG130+CG133+CG134+CG135+CG136+CG137+CG138</f>
        <v>9439.9751999999989</v>
      </c>
      <c r="CH139" s="36">
        <f t="shared" ref="CH139" si="19">CH74+CH77+CH80+CH83+CH89+CH92+CH95+CH98+CH99+CH100+CH101+CH104+CH105+CH106+CH109+CH112+CH115+CH118+CH121+CH124+CH125+CH128+CH129+CH130+CH133+CH134+CH135+CH136+CH137+CH138</f>
        <v>12475.300399999996</v>
      </c>
      <c r="CI139" s="36">
        <f t="shared" ref="CI139" si="20">CI74+CI77+CI80+CI83+CI89+CI92+CI95+CI98+CI99+CI100+CI101+CI104+CI105+CI106+CI109+CI112+CI115+CI118+CI121+CI124+CI125+CI128+CI129+CI130+CI133+CI134+CI135+CI136+CI137+CI138</f>
        <v>12437.708100000002</v>
      </c>
      <c r="CJ139" s="36">
        <f t="shared" ref="CJ139" si="21">CJ74+CJ77+CJ80+CJ83+CJ89+CJ92+CJ95+CJ98+CJ99+CJ100+CJ101+CJ104+CJ105+CJ106+CJ109+CJ112+CJ115+CJ118+CJ121+CJ124+CJ125+CJ128+CJ129+CJ130+CJ133+CJ134+CJ135+CJ136+CJ137+CJ138</f>
        <v>10760.835900000002</v>
      </c>
      <c r="CK139" s="36">
        <f t="shared" ref="CK139" si="22">CK74+CK77+CK80+CK83+CK89+CK92+CK95+CK98+CK99+CK100+CK101+CK104+CK105+CK106+CK109+CK112+CK115+CK118+CK121+CK124+CK125+CK128+CK129+CK130+CK133+CK134+CK135+CK136+CK137+CK138</f>
        <v>13839.0394</v>
      </c>
      <c r="CL139" s="36">
        <f t="shared" ref="CL139" si="23">CL74+CL77+CL80+CL83+CL89+CL92+CL95+CL98+CL99+CL100+CL101+CL104+CL105+CL106+CL109+CL112+CL115+CL118+CL121+CL124+CL125+CL128+CL129+CL130+CL133+CL134+CL135+CL136+CL137+CL138</f>
        <v>13360.8496</v>
      </c>
      <c r="CM139" s="36">
        <f t="shared" ref="CM139" si="24">CM74+CM77+CM80+CM83+CM89+CM92+CM95+CM98+CM99+CM100+CM101+CM104+CM105+CM106+CM109+CM112+CM115+CM118+CM121+CM124+CM125+CM128+CM129+CM130+CM133+CM134+CM135+CM136+CM137+CM138</f>
        <v>12456.081899999999</v>
      </c>
      <c r="CN139" s="36">
        <f t="shared" ref="CN139:CQ139" si="25">CN74+CN77+CN80+CN83+CN89+CN92+CN95+CN98+CN99+CN100+CN101+CN104+CN105+CN106+CN109+CN112+CN115+CN118+CN121+CN124+CN125+CN128+CN129+CN130+CN133+CN134+CN135+CN136+CN137+CN138</f>
        <v>11639.017499999998</v>
      </c>
      <c r="CO139" s="36">
        <f t="shared" si="25"/>
        <v>16822.187699999999</v>
      </c>
      <c r="CP139" s="36">
        <f t="shared" si="25"/>
        <v>14779.927299999998</v>
      </c>
      <c r="CQ139" s="36">
        <f t="shared" si="25"/>
        <v>17044.943699999996</v>
      </c>
    </row>
    <row r="140" spans="1:95" s="158" customFormat="1" ht="15.75" x14ac:dyDescent="0.25">
      <c r="A140" s="38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178"/>
      <c r="CQ140" s="178"/>
    </row>
    <row r="141" spans="1:95" ht="15.75" x14ac:dyDescent="0.25">
      <c r="A141" s="35" t="s">
        <v>180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7"/>
      <c r="R141" s="37"/>
      <c r="S141" s="37"/>
      <c r="T141" s="36"/>
      <c r="U141" s="36"/>
      <c r="V141" s="36"/>
      <c r="W141" s="37"/>
      <c r="X141" s="37"/>
      <c r="Y141" s="37"/>
      <c r="Z141" s="36"/>
      <c r="AA141" s="36"/>
      <c r="AB141" s="36"/>
      <c r="AC141" s="37"/>
      <c r="AD141" s="37"/>
      <c r="AE141" s="37"/>
      <c r="AF141" s="36"/>
      <c r="AG141" s="37"/>
      <c r="AH141" s="37"/>
      <c r="AI141" s="37"/>
      <c r="AJ141" s="37"/>
      <c r="AK141" s="37"/>
      <c r="AL141" s="37"/>
      <c r="AM141" s="37"/>
      <c r="AN141" s="37"/>
      <c r="AO141" s="36"/>
      <c r="AP141" s="36"/>
      <c r="AQ141" s="36"/>
      <c r="AR141" s="37"/>
      <c r="AS141" s="37"/>
      <c r="AT141" s="37"/>
      <c r="AU141" s="36"/>
      <c r="AV141" s="36"/>
      <c r="AW141" s="36"/>
      <c r="AX141" s="37"/>
      <c r="AY141" s="37"/>
      <c r="AZ141" s="37"/>
      <c r="BA141" s="36"/>
      <c r="BB141" s="36"/>
      <c r="BC141" s="36"/>
      <c r="BD141" s="36"/>
      <c r="BE141" s="36"/>
      <c r="BF141" s="27"/>
      <c r="BG141" s="36"/>
      <c r="BH141" s="36"/>
      <c r="BI141" s="36"/>
      <c r="BJ141" s="36"/>
      <c r="BK141" s="36"/>
      <c r="BL141" s="27"/>
      <c r="BM141" s="27"/>
      <c r="BN141" s="27"/>
      <c r="BO141" s="27"/>
      <c r="BP141" s="36"/>
      <c r="BQ141" s="36"/>
      <c r="BR141" s="15"/>
      <c r="BS141" s="47"/>
      <c r="BT141" s="10"/>
      <c r="BU141" s="37"/>
      <c r="BV141" s="10"/>
      <c r="BW141" s="103"/>
      <c r="BX141" s="37"/>
      <c r="BY141" s="124"/>
      <c r="BZ141" s="37"/>
      <c r="CA141" s="37"/>
      <c r="CB141" s="37"/>
      <c r="CC141" s="36"/>
      <c r="CD141" s="36"/>
      <c r="CE141" s="149"/>
      <c r="CF141" s="36"/>
      <c r="CG141" s="36"/>
      <c r="CH141" s="36"/>
      <c r="CI141" s="37"/>
      <c r="CJ141" s="37"/>
      <c r="CK141" s="37"/>
      <c r="CL141" s="37"/>
      <c r="CM141" s="37"/>
      <c r="CN141" s="37"/>
      <c r="CO141" s="37"/>
      <c r="CP141" s="171"/>
      <c r="CQ141" s="171"/>
    </row>
    <row r="142" spans="1:95" ht="15.75" x14ac:dyDescent="0.25">
      <c r="A142" s="33" t="s">
        <v>181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>
        <v>39.6905</v>
      </c>
      <c r="L142" s="20">
        <v>0</v>
      </c>
      <c r="M142" s="20">
        <v>0</v>
      </c>
      <c r="N142" s="20">
        <v>29.8416</v>
      </c>
      <c r="O142" s="20">
        <v>3.3176000000000001</v>
      </c>
      <c r="P142" s="20">
        <v>11.117366361053026</v>
      </c>
      <c r="Q142" s="20">
        <v>25.947299999999998</v>
      </c>
      <c r="R142" s="20">
        <v>3.1063999999999998</v>
      </c>
      <c r="S142" s="20">
        <v>11.971958546746675</v>
      </c>
      <c r="T142" s="20">
        <v>13.7644</v>
      </c>
      <c r="U142" s="20">
        <v>1.5054000000000001</v>
      </c>
      <c r="V142" s="20">
        <v>10.936909709104647</v>
      </c>
      <c r="W142" s="20">
        <v>11.791399999999999</v>
      </c>
      <c r="X142" s="20">
        <v>1.3129</v>
      </c>
      <c r="Y142" s="20">
        <v>11.134386077989044</v>
      </c>
      <c r="Z142" s="20">
        <v>11.2524</v>
      </c>
      <c r="AA142" s="20">
        <v>1.2524999999999999</v>
      </c>
      <c r="AB142" s="20">
        <v>11.130958728804522</v>
      </c>
      <c r="AC142" s="20">
        <v>13.8089</v>
      </c>
      <c r="AD142" s="20">
        <v>1.5449999999999999</v>
      </c>
      <c r="AE142" s="20">
        <v>11.188436443163468</v>
      </c>
      <c r="AF142" s="21">
        <v>13.6189</v>
      </c>
      <c r="AG142" s="21">
        <v>1.6365000000000001</v>
      </c>
      <c r="AH142" s="20">
        <v>12.016388988831697</v>
      </c>
      <c r="AI142" s="20">
        <v>13.180399999999999</v>
      </c>
      <c r="AJ142" s="20">
        <v>1.5784</v>
      </c>
      <c r="AK142" s="20">
        <v>11.975357348790631</v>
      </c>
      <c r="AL142" s="21">
        <v>14.686999999999999</v>
      </c>
      <c r="AM142" s="21">
        <v>1.7879</v>
      </c>
      <c r="AN142" s="20">
        <v>12.173350582147478</v>
      </c>
      <c r="AO142" s="20">
        <v>14.686999999999999</v>
      </c>
      <c r="AP142" s="20">
        <v>1.7879</v>
      </c>
      <c r="AQ142" s="20">
        <v>12.173350582147478</v>
      </c>
      <c r="AR142" s="20">
        <v>14.6515</v>
      </c>
      <c r="AS142" s="20">
        <v>1.7069000000000001</v>
      </c>
      <c r="AT142" s="20">
        <v>11.650001706309935</v>
      </c>
      <c r="AU142" s="20">
        <v>14.009499999999999</v>
      </c>
      <c r="AV142" s="20">
        <v>1.6006</v>
      </c>
      <c r="AW142" s="20">
        <v>11.425104393447306</v>
      </c>
      <c r="AX142" s="20">
        <v>15.810700000000001</v>
      </c>
      <c r="AY142" s="20">
        <v>1.8484</v>
      </c>
      <c r="AZ142" s="20">
        <v>11.690816978375404</v>
      </c>
      <c r="BA142" s="20">
        <v>23.2761</v>
      </c>
      <c r="BB142" s="20">
        <v>1.4739</v>
      </c>
      <c r="BC142" s="20">
        <v>6.3322463814814336</v>
      </c>
      <c r="BD142" s="20">
        <v>12.829700000000001</v>
      </c>
      <c r="BE142" s="20">
        <v>1.4060999999999999</v>
      </c>
      <c r="BF142" s="20">
        <v>10.959726260161966</v>
      </c>
      <c r="BG142" s="20">
        <v>14.5792</v>
      </c>
      <c r="BH142" s="20">
        <v>1.6127</v>
      </c>
      <c r="BI142" s="20">
        <v>11.061649473222126</v>
      </c>
      <c r="BJ142" s="20">
        <v>36.759300000000003</v>
      </c>
      <c r="BK142" s="20">
        <v>1.4279999999999999</v>
      </c>
      <c r="BL142" s="20">
        <v>3.8847312108772472</v>
      </c>
      <c r="BM142" s="20">
        <v>23.308700000000002</v>
      </c>
      <c r="BN142" s="20">
        <v>1.3589</v>
      </c>
      <c r="BO142" s="20">
        <v>5.8300119697795241</v>
      </c>
      <c r="BP142" s="20">
        <v>1.5840000000000001</v>
      </c>
      <c r="BQ142" s="20">
        <v>2.0735000000000001</v>
      </c>
      <c r="BR142" s="20">
        <v>1.8257000000000001</v>
      </c>
      <c r="BS142" s="20">
        <v>2.6006</v>
      </c>
      <c r="BT142" s="20">
        <v>2.6393</v>
      </c>
      <c r="BU142" s="20">
        <v>2.5503999999999998</v>
      </c>
      <c r="BV142" s="20">
        <v>2.9049999999999998</v>
      </c>
      <c r="BW142" s="89">
        <v>2.1194000000000002</v>
      </c>
      <c r="BX142" s="21">
        <v>2.0236000000000001</v>
      </c>
      <c r="BY142" s="111">
        <v>2.3369</v>
      </c>
      <c r="BZ142" s="21">
        <v>1.9878</v>
      </c>
      <c r="CA142" s="21">
        <v>1.9498</v>
      </c>
      <c r="CB142" s="21">
        <v>2.2328000000000001</v>
      </c>
      <c r="CC142" s="20">
        <v>2.2244000000000002</v>
      </c>
      <c r="CD142" s="20">
        <v>2.2035999999999998</v>
      </c>
      <c r="CE142" s="89">
        <v>2.464</v>
      </c>
      <c r="CF142" s="20">
        <v>3.4496000000000002</v>
      </c>
      <c r="CG142" s="20">
        <v>3.3365</v>
      </c>
      <c r="CH142" s="20">
        <v>3.8607</v>
      </c>
      <c r="CI142" s="21">
        <v>3.3471000000000002</v>
      </c>
      <c r="CJ142" s="21">
        <v>3.1825000000000001</v>
      </c>
      <c r="CK142" s="21">
        <v>3.3592</v>
      </c>
      <c r="CL142" s="21">
        <v>4.8114999999999997</v>
      </c>
      <c r="CM142" s="21">
        <v>4.0873999999999997</v>
      </c>
      <c r="CN142" s="21">
        <v>3.903</v>
      </c>
      <c r="CO142" s="21">
        <v>3.7496</v>
      </c>
      <c r="CP142" s="21">
        <v>3.1427999999999998</v>
      </c>
      <c r="CQ142" s="21">
        <v>3.2471999999999999</v>
      </c>
    </row>
    <row r="143" spans="1:95" ht="15.75" x14ac:dyDescent="0.25">
      <c r="A143" s="33" t="s">
        <v>182</v>
      </c>
      <c r="B143" s="20"/>
      <c r="C143" s="20"/>
      <c r="D143" s="20"/>
      <c r="E143" s="20"/>
      <c r="F143" s="20"/>
      <c r="G143" s="20"/>
      <c r="H143" s="20"/>
      <c r="I143" s="20"/>
      <c r="J143" s="20"/>
      <c r="K143" s="20">
        <v>0.71319999999999995</v>
      </c>
      <c r="L143" s="20">
        <v>0</v>
      </c>
      <c r="M143" s="20">
        <v>0</v>
      </c>
      <c r="N143" s="20">
        <v>29.4941</v>
      </c>
      <c r="O143" s="20">
        <v>4.0000000000000002E-4</v>
      </c>
      <c r="P143" s="20">
        <v>1.3562034440786463E-3</v>
      </c>
      <c r="Q143" s="20">
        <v>7.4161999999999999</v>
      </c>
      <c r="R143" s="20">
        <v>0</v>
      </c>
      <c r="S143" s="20">
        <v>0</v>
      </c>
      <c r="T143" s="20">
        <v>117.7166</v>
      </c>
      <c r="U143" s="20">
        <v>13.768599999999999</v>
      </c>
      <c r="V143" s="20">
        <v>11.696396260170612</v>
      </c>
      <c r="W143" s="20">
        <v>53.552999999999997</v>
      </c>
      <c r="X143" s="20">
        <v>2.6612</v>
      </c>
      <c r="Y143" s="20">
        <v>4.9692827666050459</v>
      </c>
      <c r="Z143" s="20">
        <v>33.915700000000001</v>
      </c>
      <c r="AA143" s="20">
        <v>2.661</v>
      </c>
      <c r="AB143" s="20">
        <v>7.8459238641691016</v>
      </c>
      <c r="AC143" s="20">
        <v>89.273399999999995</v>
      </c>
      <c r="AD143" s="20">
        <v>11.1076</v>
      </c>
      <c r="AE143" s="20">
        <v>12.442228032090185</v>
      </c>
      <c r="AF143" s="21">
        <v>16.026399999999999</v>
      </c>
      <c r="AG143" s="21">
        <v>4.0000000000000002E-4</v>
      </c>
      <c r="AH143" s="20">
        <v>2.4958817950381873E-3</v>
      </c>
      <c r="AI143" s="20">
        <v>11.097200000000001</v>
      </c>
      <c r="AJ143" s="21">
        <v>0</v>
      </c>
      <c r="AK143" s="20">
        <v>0</v>
      </c>
      <c r="AL143" s="21">
        <v>189.364</v>
      </c>
      <c r="AM143" s="21">
        <v>23.94</v>
      </c>
      <c r="AN143" s="20">
        <v>12.64231849770812</v>
      </c>
      <c r="AO143" s="20">
        <v>59.264899999999997</v>
      </c>
      <c r="AP143" s="20">
        <v>5.9999999999999995E-4</v>
      </c>
      <c r="AQ143" s="20">
        <v>1.0124036318292953E-3</v>
      </c>
      <c r="AR143" s="20">
        <v>52.136400000000002</v>
      </c>
      <c r="AS143" s="20">
        <v>5.9999999999999995E-4</v>
      </c>
      <c r="AT143" s="20">
        <v>1.1508274449329066E-3</v>
      </c>
      <c r="AU143" s="20">
        <v>7.5334000000000003</v>
      </c>
      <c r="AV143" s="20">
        <v>0</v>
      </c>
      <c r="AW143" s="20">
        <v>0</v>
      </c>
      <c r="AX143" s="20">
        <v>57.807699999999997</v>
      </c>
      <c r="AY143" s="20">
        <v>0.88929999999999998</v>
      </c>
      <c r="AZ143" s="20">
        <v>1.5383763754655522</v>
      </c>
      <c r="BA143" s="20">
        <v>26.0763</v>
      </c>
      <c r="BB143" s="20">
        <v>0.88929999999999998</v>
      </c>
      <c r="BC143" s="20">
        <v>3.410376472122195</v>
      </c>
      <c r="BD143" s="20">
        <v>7.4920999999999998</v>
      </c>
      <c r="BE143" s="20">
        <v>0.88929999999999998</v>
      </c>
      <c r="BF143" s="20">
        <v>11.869836227492959</v>
      </c>
      <c r="BG143" s="20">
        <v>254.49250000000001</v>
      </c>
      <c r="BH143" s="20">
        <v>37.354199999999999</v>
      </c>
      <c r="BI143" s="20">
        <v>14.677917816831537</v>
      </c>
      <c r="BJ143" s="20">
        <v>75.724900000000005</v>
      </c>
      <c r="BK143" s="20">
        <v>12.2652</v>
      </c>
      <c r="BL143" s="20">
        <v>16.197050111654157</v>
      </c>
      <c r="BM143" s="20">
        <v>55.6372</v>
      </c>
      <c r="BN143" s="20">
        <v>6.3930999999999996</v>
      </c>
      <c r="BO143" s="20">
        <v>11.490693277159885</v>
      </c>
      <c r="BP143" s="20">
        <v>6.0900000000000003E-2</v>
      </c>
      <c r="BQ143" s="20">
        <v>0</v>
      </c>
      <c r="BR143" s="20">
        <v>0</v>
      </c>
      <c r="BS143" s="20">
        <v>2.0000000000000001E-4</v>
      </c>
      <c r="BT143" s="20">
        <v>0</v>
      </c>
      <c r="BU143" s="21">
        <v>0</v>
      </c>
      <c r="BV143" s="20">
        <v>2.9999999999999997E-4</v>
      </c>
      <c r="BW143" s="89">
        <v>1E-4</v>
      </c>
      <c r="BX143" s="21">
        <v>0</v>
      </c>
      <c r="BY143" s="111">
        <v>2.9999999999999997E-4</v>
      </c>
      <c r="BZ143" s="21">
        <v>0</v>
      </c>
      <c r="CA143" s="21">
        <v>0</v>
      </c>
      <c r="CB143" s="21">
        <v>0</v>
      </c>
      <c r="CC143" s="20">
        <v>0</v>
      </c>
      <c r="CD143" s="20">
        <v>0</v>
      </c>
      <c r="CE143" s="89">
        <v>0</v>
      </c>
      <c r="CF143" s="20">
        <v>0</v>
      </c>
      <c r="CG143" s="20">
        <v>0</v>
      </c>
      <c r="CH143" s="20">
        <v>2.9318</v>
      </c>
      <c r="CI143" s="21">
        <v>2.9316</v>
      </c>
      <c r="CJ143" s="21">
        <v>0</v>
      </c>
      <c r="CK143" s="21">
        <v>3.0000000000000001E-3</v>
      </c>
      <c r="CL143" s="21">
        <v>2.9999999999999997E-4</v>
      </c>
      <c r="CM143" s="21">
        <f>0.0006+0.0003</f>
        <v>8.9999999999999998E-4</v>
      </c>
      <c r="CN143" s="21">
        <v>0</v>
      </c>
      <c r="CO143" s="21">
        <f>0.0006+2.9321</f>
        <v>2.9327000000000001</v>
      </c>
      <c r="CP143" s="21">
        <f>0.0305+0.0006</f>
        <v>3.1099999999999999E-2</v>
      </c>
      <c r="CQ143" s="21">
        <f>0.0802+0.0604</f>
        <v>0.1406</v>
      </c>
    </row>
    <row r="144" spans="1:95" ht="15.75" x14ac:dyDescent="0.25">
      <c r="A144" s="33" t="s">
        <v>183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1"/>
      <c r="AG144" s="21"/>
      <c r="AH144" s="20"/>
      <c r="AI144" s="20"/>
      <c r="AJ144" s="21"/>
      <c r="AK144" s="20"/>
      <c r="AL144" s="21"/>
      <c r="AM144" s="21"/>
      <c r="AN144" s="20"/>
      <c r="AO144" s="20"/>
      <c r="AP144" s="20"/>
      <c r="AQ144" s="20"/>
      <c r="AR144" s="20"/>
      <c r="AS144" s="20"/>
      <c r="AT144" s="20"/>
      <c r="AU144" s="20">
        <v>446.03960000000001</v>
      </c>
      <c r="AV144" s="20">
        <v>0</v>
      </c>
      <c r="AW144" s="20">
        <v>0</v>
      </c>
      <c r="AX144" s="20"/>
      <c r="AY144" s="20"/>
      <c r="AZ144" s="20"/>
      <c r="BA144" s="20">
        <v>677.86599999999999</v>
      </c>
      <c r="BB144" s="20">
        <v>0</v>
      </c>
      <c r="BC144" s="20">
        <v>0</v>
      </c>
      <c r="BD144" s="20">
        <v>677.64790000000005</v>
      </c>
      <c r="BE144" s="20">
        <v>0</v>
      </c>
      <c r="BF144" s="20">
        <v>0</v>
      </c>
      <c r="BG144" s="20">
        <v>500.5462</v>
      </c>
      <c r="BH144" s="20">
        <v>3.0518999999999998</v>
      </c>
      <c r="BI144" s="20">
        <v>0.60971394848267746</v>
      </c>
      <c r="BJ144" s="20">
        <v>874.87440000000004</v>
      </c>
      <c r="BK144" s="20">
        <v>7.25</v>
      </c>
      <c r="BL144" s="20">
        <v>0.82869038115642657</v>
      </c>
      <c r="BM144" s="20">
        <v>872.85479999999995</v>
      </c>
      <c r="BN144" s="20">
        <v>6.9132999999999996</v>
      </c>
      <c r="BO144" s="20">
        <v>0.79203322247869867</v>
      </c>
      <c r="BP144" s="20">
        <v>26.51</v>
      </c>
      <c r="BQ144" s="20">
        <v>39.299999999999997</v>
      </c>
      <c r="BR144" s="20">
        <v>39.299999999999997</v>
      </c>
      <c r="BS144" s="20">
        <v>33.380000000000003</v>
      </c>
      <c r="BT144" s="20">
        <v>33.380000000000003</v>
      </c>
      <c r="BU144" s="21">
        <v>33.380000000000003</v>
      </c>
      <c r="BV144" s="20">
        <v>37.29</v>
      </c>
      <c r="BW144" s="97">
        <v>37.29</v>
      </c>
      <c r="BX144" s="21">
        <v>37.132399999999997</v>
      </c>
      <c r="BY144" s="118">
        <v>53.42</v>
      </c>
      <c r="BZ144" s="21">
        <v>64.319999999999993</v>
      </c>
      <c r="CA144" s="21">
        <v>64.319999999999993</v>
      </c>
      <c r="CB144" s="21">
        <v>50.0002</v>
      </c>
      <c r="CC144" s="20">
        <v>79</v>
      </c>
      <c r="CD144" s="20">
        <v>79</v>
      </c>
      <c r="CE144" s="89">
        <v>96.3001</v>
      </c>
      <c r="CF144" s="20">
        <v>97.28</v>
      </c>
      <c r="CG144" s="20">
        <v>97.28</v>
      </c>
      <c r="CH144" s="20">
        <v>93.000100000000003</v>
      </c>
      <c r="CI144" s="21">
        <v>106.3</v>
      </c>
      <c r="CJ144" s="21">
        <f>82.2958</f>
        <v>82.2958</v>
      </c>
      <c r="CK144" s="21">
        <v>146.9007</v>
      </c>
      <c r="CL144" s="21">
        <v>151.05029999999999</v>
      </c>
      <c r="CM144" s="21">
        <v>149.875</v>
      </c>
      <c r="CN144" s="21">
        <v>148.08629999999999</v>
      </c>
      <c r="CO144" s="21">
        <v>177.85079999999999</v>
      </c>
      <c r="CP144" s="21">
        <v>198.18199999999999</v>
      </c>
      <c r="CQ144" s="21">
        <v>207.36019999999999</v>
      </c>
    </row>
    <row r="145" spans="1:95" s="155" customFormat="1" ht="15.75" x14ac:dyDescent="0.25">
      <c r="A145" s="157" t="s">
        <v>199</v>
      </c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146"/>
      <c r="AG145" s="146"/>
      <c r="AH145" s="59"/>
      <c r="AI145" s="59"/>
      <c r="AJ145" s="146"/>
      <c r="AK145" s="59"/>
      <c r="AL145" s="146"/>
      <c r="AM145" s="146"/>
      <c r="AN145" s="59"/>
      <c r="AO145" s="59"/>
      <c r="AP145" s="59"/>
      <c r="AQ145" s="59"/>
      <c r="AR145" s="59"/>
      <c r="AS145" s="59"/>
      <c r="AT145" s="59"/>
      <c r="AU145" s="59">
        <v>17.711600000000001</v>
      </c>
      <c r="AV145" s="59">
        <v>0</v>
      </c>
      <c r="AW145" s="59">
        <v>0</v>
      </c>
      <c r="AX145" s="59"/>
      <c r="AY145" s="59"/>
      <c r="AZ145" s="59"/>
      <c r="BA145" s="59">
        <v>19.150400000000001</v>
      </c>
      <c r="BB145" s="59">
        <v>3.5619000000000001</v>
      </c>
      <c r="BC145" s="59">
        <v>18.599611496365611</v>
      </c>
      <c r="BD145" s="59">
        <v>19.128499999999999</v>
      </c>
      <c r="BE145" s="59">
        <v>3.5619000000000001</v>
      </c>
      <c r="BF145" s="59">
        <v>18.620905977990958</v>
      </c>
      <c r="BG145" s="59">
        <v>27.635100000000001</v>
      </c>
      <c r="BH145" s="59">
        <v>4.9413999999999998</v>
      </c>
      <c r="BI145" s="59">
        <v>17.880883369338267</v>
      </c>
      <c r="BJ145" s="59">
        <v>32.594799999999999</v>
      </c>
      <c r="BK145" s="59">
        <v>4.9413999999999998</v>
      </c>
      <c r="BL145" s="59">
        <v>15.160086885024604</v>
      </c>
      <c r="BM145" s="59">
        <v>30.942699999999999</v>
      </c>
      <c r="BN145" s="59">
        <v>4.6836000000000002</v>
      </c>
      <c r="BO145" s="59">
        <v>15.13636495845547</v>
      </c>
      <c r="BP145" s="59">
        <v>4.585</v>
      </c>
      <c r="BQ145" s="59">
        <v>4.585</v>
      </c>
      <c r="BR145" s="59">
        <v>4.5795000000000003</v>
      </c>
      <c r="BS145" s="59">
        <v>5.2508999999999997</v>
      </c>
      <c r="BT145" s="59">
        <v>2.6764000000000001</v>
      </c>
      <c r="BU145" s="146">
        <v>0.3024</v>
      </c>
      <c r="BV145" s="59">
        <v>5.0628000000000002</v>
      </c>
      <c r="BW145" s="154">
        <v>4.58</v>
      </c>
      <c r="BX145" s="146">
        <v>4.5677000000000003</v>
      </c>
      <c r="BY145" s="110">
        <v>3.9741</v>
      </c>
      <c r="BZ145" s="146">
        <v>3.9741</v>
      </c>
      <c r="CA145" s="146">
        <v>3.7120000000000002</v>
      </c>
      <c r="CB145" s="146">
        <v>3.8029999999999999</v>
      </c>
      <c r="CC145" s="59">
        <v>4.5999999999999996</v>
      </c>
      <c r="CD145" s="59">
        <v>4.5510999999999999</v>
      </c>
      <c r="CE145" s="88">
        <v>3.903</v>
      </c>
      <c r="CF145" s="59">
        <v>5.7317999999999998</v>
      </c>
      <c r="CG145" s="59">
        <v>3.4948000000000001</v>
      </c>
      <c r="CH145" s="59">
        <v>4.7443999999999997</v>
      </c>
      <c r="CI145" s="146">
        <v>4.7443999999999997</v>
      </c>
      <c r="CJ145" s="33">
        <v>3.6644000000000001</v>
      </c>
      <c r="CK145" s="33">
        <v>5.4638999999999998</v>
      </c>
      <c r="CL145" s="33">
        <v>5.4638999999999998</v>
      </c>
      <c r="CM145" s="33">
        <v>2.6</v>
      </c>
      <c r="CN145" s="33">
        <v>2.5733000000000001</v>
      </c>
      <c r="CO145" s="33">
        <v>0.77200000000000002</v>
      </c>
      <c r="CP145" s="33">
        <v>0.77200000000000002</v>
      </c>
      <c r="CQ145" s="33">
        <v>0.35659999999999997</v>
      </c>
    </row>
    <row r="146" spans="1:95" ht="15.75" x14ac:dyDescent="0.25">
      <c r="A146" s="33" t="s">
        <v>184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>
        <v>30.748799999999999</v>
      </c>
      <c r="R146" s="20">
        <v>0</v>
      </c>
      <c r="S146" s="20">
        <v>0</v>
      </c>
      <c r="T146" s="20"/>
      <c r="U146" s="20"/>
      <c r="V146" s="20"/>
      <c r="W146" s="20">
        <v>48.9649</v>
      </c>
      <c r="X146" s="20">
        <v>0</v>
      </c>
      <c r="Y146" s="20">
        <v>0</v>
      </c>
      <c r="Z146" s="20">
        <v>43.255000000000003</v>
      </c>
      <c r="AA146" s="20">
        <v>0</v>
      </c>
      <c r="AB146" s="20">
        <v>0</v>
      </c>
      <c r="AC146" s="20">
        <v>1.0618000000000001</v>
      </c>
      <c r="AD146" s="20">
        <v>5.0000000000000001E-4</v>
      </c>
      <c r="AE146" s="20">
        <v>4.7089847428894327E-2</v>
      </c>
      <c r="AF146" s="21">
        <v>43.547600000000003</v>
      </c>
      <c r="AG146" s="21">
        <v>0</v>
      </c>
      <c r="AH146" s="20">
        <v>0</v>
      </c>
      <c r="AI146" s="20">
        <v>33.0212</v>
      </c>
      <c r="AJ146" s="20">
        <v>0</v>
      </c>
      <c r="AK146" s="20">
        <v>0</v>
      </c>
      <c r="AL146" s="21">
        <v>40.081600000000002</v>
      </c>
      <c r="AM146" s="21">
        <v>5.0000000000000001E-4</v>
      </c>
      <c r="AN146" s="20">
        <v>1.2474551914095247E-3</v>
      </c>
      <c r="AO146" s="20">
        <v>17.762</v>
      </c>
      <c r="AP146" s="20">
        <v>5.0000000000000001E-4</v>
      </c>
      <c r="AQ146" s="20">
        <v>2.8149983110010135E-3</v>
      </c>
      <c r="AR146" s="20">
        <v>17.2593</v>
      </c>
      <c r="AS146" s="20">
        <v>0</v>
      </c>
      <c r="AT146" s="20">
        <v>0</v>
      </c>
      <c r="AU146" s="20"/>
      <c r="AV146" s="20"/>
      <c r="AW146" s="20"/>
      <c r="AX146" s="20">
        <v>13.0007</v>
      </c>
      <c r="AY146" s="20">
        <v>0</v>
      </c>
      <c r="AZ146" s="20">
        <v>0</v>
      </c>
      <c r="BA146" s="20"/>
      <c r="BB146" s="20"/>
      <c r="BC146" s="20"/>
      <c r="BD146" s="20">
        <v>6.8948</v>
      </c>
      <c r="BE146" s="20">
        <v>0</v>
      </c>
      <c r="BF146" s="20">
        <v>0</v>
      </c>
      <c r="BG146" s="20">
        <v>30.750399999999999</v>
      </c>
      <c r="BH146" s="20">
        <v>0</v>
      </c>
      <c r="BI146" s="20">
        <v>0</v>
      </c>
      <c r="BJ146" s="20">
        <v>99.643900000000002</v>
      </c>
      <c r="BK146" s="20">
        <v>0</v>
      </c>
      <c r="BL146" s="20">
        <v>0</v>
      </c>
      <c r="BM146" s="20">
        <v>78.924899999999994</v>
      </c>
      <c r="BN146" s="20">
        <v>0</v>
      </c>
      <c r="BO146" s="20">
        <v>0</v>
      </c>
      <c r="BP146" s="20">
        <v>0</v>
      </c>
      <c r="BQ146" s="20">
        <v>0</v>
      </c>
      <c r="BR146" s="20">
        <v>0</v>
      </c>
      <c r="BS146" s="20">
        <v>0</v>
      </c>
      <c r="BT146" s="20">
        <v>0</v>
      </c>
      <c r="BU146" s="21">
        <v>0</v>
      </c>
      <c r="BV146" s="20">
        <v>0</v>
      </c>
      <c r="BW146" s="97">
        <v>0</v>
      </c>
      <c r="BX146" s="21">
        <v>0</v>
      </c>
      <c r="BY146" s="118">
        <v>0</v>
      </c>
      <c r="BZ146" s="21">
        <v>0</v>
      </c>
      <c r="CA146" s="21">
        <v>0</v>
      </c>
      <c r="CB146" s="21">
        <v>0.5</v>
      </c>
      <c r="CC146" s="20">
        <v>0.5</v>
      </c>
      <c r="CD146" s="20">
        <v>0.25</v>
      </c>
      <c r="CE146" s="89">
        <v>0.5</v>
      </c>
      <c r="CF146" s="20">
        <v>0.5</v>
      </c>
      <c r="CG146" s="20">
        <v>0.12180000000000001</v>
      </c>
      <c r="CH146" s="20">
        <v>0.65</v>
      </c>
      <c r="CI146" s="21">
        <v>1E-4</v>
      </c>
      <c r="CJ146" s="21">
        <v>0</v>
      </c>
      <c r="CK146" s="21">
        <v>15</v>
      </c>
      <c r="CL146" s="21">
        <v>15</v>
      </c>
      <c r="CM146" s="21">
        <v>7.25</v>
      </c>
      <c r="CN146" s="21">
        <v>0.53469999999999995</v>
      </c>
      <c r="CO146" s="21">
        <v>5.0000999999999998</v>
      </c>
      <c r="CP146" s="21">
        <v>5.5000999999999998</v>
      </c>
      <c r="CQ146" s="21">
        <v>5.5000999999999998</v>
      </c>
    </row>
    <row r="147" spans="1:95" ht="15.75" x14ac:dyDescent="0.25">
      <c r="A147" s="33" t="s">
        <v>185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>
        <v>69.077100000000002</v>
      </c>
      <c r="L147" s="20">
        <v>0</v>
      </c>
      <c r="M147" s="20">
        <v>0</v>
      </c>
      <c r="N147" s="20">
        <v>97.716099999999997</v>
      </c>
      <c r="O147" s="20">
        <v>0</v>
      </c>
      <c r="P147" s="20">
        <v>0</v>
      </c>
      <c r="Q147" s="20">
        <v>97.715999999999994</v>
      </c>
      <c r="R147" s="20">
        <v>0</v>
      </c>
      <c r="S147" s="20">
        <v>0</v>
      </c>
      <c r="T147" s="20">
        <v>100.0003</v>
      </c>
      <c r="U147" s="20">
        <v>1.4043000000000001</v>
      </c>
      <c r="V147" s="20">
        <v>1.4042957871126389</v>
      </c>
      <c r="W147" s="20">
        <v>101.0001</v>
      </c>
      <c r="X147" s="20">
        <v>1.4043000000000001</v>
      </c>
      <c r="Y147" s="20">
        <v>1.3903946629755812</v>
      </c>
      <c r="Z147" s="20">
        <v>97.502300000000005</v>
      </c>
      <c r="AA147" s="20">
        <v>1.4043000000000001</v>
      </c>
      <c r="AB147" s="20">
        <v>1.4402737166200184</v>
      </c>
      <c r="AC147" s="20">
        <v>110.00020000000001</v>
      </c>
      <c r="AD147" s="20">
        <v>18.876000000000001</v>
      </c>
      <c r="AE147" s="20">
        <v>17.159968800056728</v>
      </c>
      <c r="AF147" s="21">
        <v>99.083399999999997</v>
      </c>
      <c r="AG147" s="21">
        <v>8.9025999999999996</v>
      </c>
      <c r="AH147" s="20">
        <v>8.9849561076830238</v>
      </c>
      <c r="AI147" s="20">
        <v>94.084800000000001</v>
      </c>
      <c r="AJ147" s="20">
        <v>8.9025999999999996</v>
      </c>
      <c r="AK147" s="20">
        <v>9.4623148478819097</v>
      </c>
      <c r="AL147" s="21">
        <v>127.00020000000001</v>
      </c>
      <c r="AM147" s="21">
        <v>8.9025999999999996</v>
      </c>
      <c r="AN147" s="20">
        <v>7.0099102206138255</v>
      </c>
      <c r="AO147" s="20">
        <v>132.30009999999999</v>
      </c>
      <c r="AP147" s="20">
        <v>8.9025999999999996</v>
      </c>
      <c r="AQ147" s="20">
        <v>6.7290954428605874</v>
      </c>
      <c r="AR147" s="20">
        <v>120.00660000000001</v>
      </c>
      <c r="AS147" s="20">
        <v>8.7524999999999995</v>
      </c>
      <c r="AT147" s="20">
        <v>7.29334886581238</v>
      </c>
      <c r="AU147" s="20">
        <v>103.80419999999999</v>
      </c>
      <c r="AV147" s="20">
        <v>8.6975999999999996</v>
      </c>
      <c r="AW147" s="20">
        <v>8.3788517227626631</v>
      </c>
      <c r="AX147" s="20">
        <v>106.5868</v>
      </c>
      <c r="AY147" s="20">
        <v>21.220500000000001</v>
      </c>
      <c r="AZ147" s="20">
        <v>19.909125707873773</v>
      </c>
      <c r="BA147" s="20">
        <v>114.6438</v>
      </c>
      <c r="BB147" s="20">
        <v>21.220500000000001</v>
      </c>
      <c r="BC147" s="20">
        <v>18.509941226651595</v>
      </c>
      <c r="BD147" s="20">
        <v>102.788</v>
      </c>
      <c r="BE147" s="20">
        <v>21.0046</v>
      </c>
      <c r="BF147" s="20">
        <v>20.434875666420204</v>
      </c>
      <c r="BG147" s="20">
        <v>156.8313</v>
      </c>
      <c r="BH147" s="20">
        <v>27.973400000000002</v>
      </c>
      <c r="BI147" s="20">
        <v>17.83661807305047</v>
      </c>
      <c r="BJ147" s="20">
        <v>100.0001</v>
      </c>
      <c r="BK147" s="20">
        <v>19.350100000000001</v>
      </c>
      <c r="BL147" s="20">
        <v>19.350080649919352</v>
      </c>
      <c r="BM147" s="20">
        <v>96.795400000000001</v>
      </c>
      <c r="BN147" s="20">
        <v>19.350000000000001</v>
      </c>
      <c r="BO147" s="20">
        <v>19.990619388937905</v>
      </c>
      <c r="BP147" s="20">
        <v>32.141800000000003</v>
      </c>
      <c r="BQ147" s="20">
        <v>32.1417</v>
      </c>
      <c r="BR147" s="20">
        <v>30.960100000000001</v>
      </c>
      <c r="BS147" s="20">
        <v>35.356000000000002</v>
      </c>
      <c r="BT147" s="20">
        <v>27.301200000000001</v>
      </c>
      <c r="BU147" s="20">
        <v>27.014600000000002</v>
      </c>
      <c r="BV147" s="20">
        <v>30.301200000000001</v>
      </c>
      <c r="BW147" s="89">
        <v>25.068899999999999</v>
      </c>
      <c r="BX147" s="21">
        <v>23.420200000000001</v>
      </c>
      <c r="BY147" s="111">
        <v>29.240200000000002</v>
      </c>
      <c r="BZ147" s="21">
        <v>25.657900000000001</v>
      </c>
      <c r="CA147" s="21">
        <v>15.928800000000001</v>
      </c>
      <c r="CB147" s="21">
        <v>24.5</v>
      </c>
      <c r="CC147" s="20">
        <v>19.5</v>
      </c>
      <c r="CD147" s="20">
        <v>18.5</v>
      </c>
      <c r="CE147" s="89">
        <v>22.5</v>
      </c>
      <c r="CF147" s="20">
        <v>17.154800000000002</v>
      </c>
      <c r="CG147" s="20">
        <v>11.3468</v>
      </c>
      <c r="CH147" s="20">
        <v>12.83</v>
      </c>
      <c r="CI147" s="21">
        <v>6.83</v>
      </c>
      <c r="CJ147" s="21">
        <v>5.8451000000000004</v>
      </c>
      <c r="CK147" s="21">
        <v>10.0001</v>
      </c>
      <c r="CL147" s="21">
        <v>9.5000999999999998</v>
      </c>
      <c r="CM147" s="21">
        <v>2.5001000000000002</v>
      </c>
      <c r="CN147" s="21">
        <v>0.5333</v>
      </c>
      <c r="CO147" s="21">
        <v>11.5001</v>
      </c>
      <c r="CP147" s="21">
        <v>3.0001000000000002</v>
      </c>
      <c r="CQ147" s="21">
        <v>6.0000999999999998</v>
      </c>
    </row>
    <row r="148" spans="1:95" ht="15.75" x14ac:dyDescent="0.25">
      <c r="A148" s="33" t="s">
        <v>186</v>
      </c>
      <c r="B148" s="20"/>
      <c r="C148" s="20"/>
      <c r="D148" s="20"/>
      <c r="E148" s="20"/>
      <c r="F148" s="20"/>
      <c r="G148" s="20"/>
      <c r="H148" s="20"/>
      <c r="I148" s="20"/>
      <c r="J148" s="20"/>
      <c r="K148" s="20">
        <v>1.8499999999999999E-2</v>
      </c>
      <c r="L148" s="20">
        <v>0</v>
      </c>
      <c r="M148" s="20">
        <v>0</v>
      </c>
      <c r="N148" s="20">
        <v>1.6E-2</v>
      </c>
      <c r="O148" s="20">
        <v>2.9999999999999997E-4</v>
      </c>
      <c r="P148" s="20">
        <v>1.875</v>
      </c>
      <c r="Q148" s="20">
        <v>8.3999999999999995E-3</v>
      </c>
      <c r="R148" s="20">
        <v>0</v>
      </c>
      <c r="S148" s="20">
        <v>0</v>
      </c>
      <c r="T148" s="20">
        <v>1.6E-2</v>
      </c>
      <c r="U148" s="20">
        <v>2.9999999999999997E-4</v>
      </c>
      <c r="V148" s="20">
        <v>1.875</v>
      </c>
      <c r="W148" s="20">
        <v>1.54E-2</v>
      </c>
      <c r="X148" s="20">
        <v>0</v>
      </c>
      <c r="Y148" s="20">
        <v>0</v>
      </c>
      <c r="Z148" s="20">
        <v>8.3999999999999995E-3</v>
      </c>
      <c r="AA148" s="20">
        <v>0</v>
      </c>
      <c r="AB148" s="20">
        <v>0</v>
      </c>
      <c r="AC148" s="20">
        <v>2.1703000000000001</v>
      </c>
      <c r="AD148" s="20">
        <v>2.9999999999999997E-4</v>
      </c>
      <c r="AE148" s="20">
        <v>1.3822973782426392E-2</v>
      </c>
      <c r="AF148" s="21">
        <v>0.16500000000000001</v>
      </c>
      <c r="AG148" s="21">
        <v>0</v>
      </c>
      <c r="AH148" s="20">
        <v>0</v>
      </c>
      <c r="AI148" s="20">
        <v>0.1477</v>
      </c>
      <c r="AJ148" s="20">
        <v>0</v>
      </c>
      <c r="AK148" s="20">
        <v>0</v>
      </c>
      <c r="AL148" s="21">
        <v>2.02</v>
      </c>
      <c r="AM148" s="21">
        <v>4.0000000000000002E-4</v>
      </c>
      <c r="AN148" s="20">
        <v>1.9801980198019802E-2</v>
      </c>
      <c r="AO148" s="20">
        <v>2.5444</v>
      </c>
      <c r="AP148" s="20">
        <v>1E-4</v>
      </c>
      <c r="AQ148" s="20">
        <v>3.9301996541424309E-3</v>
      </c>
      <c r="AR148" s="20">
        <v>2.5442999999999998</v>
      </c>
      <c r="AS148" s="20">
        <v>0</v>
      </c>
      <c r="AT148" s="20">
        <v>0</v>
      </c>
      <c r="AU148" s="20">
        <v>14.224500000000001</v>
      </c>
      <c r="AV148" s="20">
        <v>0</v>
      </c>
      <c r="AW148" s="20">
        <v>0</v>
      </c>
      <c r="AX148" s="20">
        <v>5.9938000000000002</v>
      </c>
      <c r="AY148" s="20">
        <v>0</v>
      </c>
      <c r="AZ148" s="20">
        <v>0</v>
      </c>
      <c r="BA148" s="20">
        <v>10.0006</v>
      </c>
      <c r="BB148" s="20">
        <v>0</v>
      </c>
      <c r="BC148" s="20">
        <v>0</v>
      </c>
      <c r="BD148" s="20">
        <v>5.1436000000000002</v>
      </c>
      <c r="BE148" s="20">
        <v>0</v>
      </c>
      <c r="BF148" s="20">
        <v>0</v>
      </c>
      <c r="BG148" s="20">
        <v>36.750399999999999</v>
      </c>
      <c r="BH148" s="20">
        <v>0</v>
      </c>
      <c r="BI148" s="20">
        <v>0</v>
      </c>
      <c r="BJ148" s="20">
        <v>7.19</v>
      </c>
      <c r="BK148" s="20">
        <v>0</v>
      </c>
      <c r="BL148" s="20">
        <v>0</v>
      </c>
      <c r="BM148" s="20">
        <v>1.9799</v>
      </c>
      <c r="BN148" s="20">
        <v>0</v>
      </c>
      <c r="BO148" s="20">
        <v>0</v>
      </c>
      <c r="BP148" s="20">
        <v>0</v>
      </c>
      <c r="BQ148" s="20">
        <v>0</v>
      </c>
      <c r="BR148" s="20">
        <v>0</v>
      </c>
      <c r="BS148" s="20">
        <v>0</v>
      </c>
      <c r="BT148" s="20">
        <v>0</v>
      </c>
      <c r="BU148" s="20">
        <v>0</v>
      </c>
      <c r="BV148" s="20">
        <v>0</v>
      </c>
      <c r="BW148" s="89">
        <v>0</v>
      </c>
      <c r="BX148" s="21">
        <v>0</v>
      </c>
      <c r="BY148" s="111">
        <v>0</v>
      </c>
      <c r="BZ148" s="21">
        <v>0</v>
      </c>
      <c r="CA148" s="21">
        <v>0</v>
      </c>
      <c r="CB148" s="21">
        <v>0.17</v>
      </c>
      <c r="CC148" s="20">
        <v>0.17</v>
      </c>
      <c r="CD148" s="20">
        <v>0.93</v>
      </c>
      <c r="CE148" s="89">
        <v>0.17</v>
      </c>
      <c r="CF148" s="20">
        <v>0.17</v>
      </c>
      <c r="CG148" s="20">
        <v>0.1681</v>
      </c>
      <c r="CH148" s="20">
        <v>0.17</v>
      </c>
      <c r="CI148" s="21">
        <v>0.17</v>
      </c>
      <c r="CJ148" s="21">
        <v>0.16800000000000001</v>
      </c>
      <c r="CK148" s="21">
        <v>0.17</v>
      </c>
      <c r="CL148" s="21">
        <v>0.17</v>
      </c>
      <c r="CM148" s="21">
        <v>0.17</v>
      </c>
      <c r="CN148" s="21">
        <v>2.8199999999999999E-2</v>
      </c>
      <c r="CO148" s="21">
        <v>0.17</v>
      </c>
      <c r="CP148" s="21">
        <v>0.17</v>
      </c>
      <c r="CQ148" s="21">
        <v>0.17</v>
      </c>
    </row>
    <row r="149" spans="1:95" ht="15.75" x14ac:dyDescent="0.25">
      <c r="A149" s="33" t="s">
        <v>187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>
        <v>1</v>
      </c>
      <c r="AA149" s="20">
        <v>0</v>
      </c>
      <c r="AB149" s="20">
        <v>0</v>
      </c>
      <c r="AC149" s="20"/>
      <c r="AD149" s="20"/>
      <c r="AE149" s="20"/>
      <c r="AF149" s="21">
        <v>1</v>
      </c>
      <c r="AG149" s="21">
        <v>0</v>
      </c>
      <c r="AH149" s="20">
        <v>0</v>
      </c>
      <c r="AI149" s="20">
        <v>0</v>
      </c>
      <c r="AJ149" s="20">
        <v>0</v>
      </c>
      <c r="AK149" s="20">
        <v>0</v>
      </c>
      <c r="AL149" s="21">
        <v>1.2641</v>
      </c>
      <c r="AM149" s="21">
        <v>0</v>
      </c>
      <c r="AN149" s="20">
        <v>0</v>
      </c>
      <c r="AO149" s="20">
        <v>1.2641</v>
      </c>
      <c r="AP149" s="20">
        <v>0</v>
      </c>
      <c r="AQ149" s="20">
        <v>0</v>
      </c>
      <c r="AR149" s="20">
        <v>1.2641</v>
      </c>
      <c r="AS149" s="20">
        <v>0</v>
      </c>
      <c r="AT149" s="20">
        <v>0</v>
      </c>
      <c r="AU149" s="20">
        <v>2.0823999999999998</v>
      </c>
      <c r="AV149" s="20">
        <v>0</v>
      </c>
      <c r="AW149" s="20">
        <v>0</v>
      </c>
      <c r="AX149" s="20">
        <v>1</v>
      </c>
      <c r="AY149" s="20">
        <v>0</v>
      </c>
      <c r="AZ149" s="20">
        <v>0</v>
      </c>
      <c r="BA149" s="20">
        <v>6.4438000000000004</v>
      </c>
      <c r="BB149" s="20">
        <v>0</v>
      </c>
      <c r="BC149" s="20">
        <v>0</v>
      </c>
      <c r="BD149" s="20">
        <v>0.43640000000000001</v>
      </c>
      <c r="BE149" s="20">
        <v>0</v>
      </c>
      <c r="BF149" s="20">
        <v>0</v>
      </c>
      <c r="BG149" s="20">
        <v>9.6110000000000007</v>
      </c>
      <c r="BH149" s="20">
        <v>0</v>
      </c>
      <c r="BI149" s="20">
        <v>0</v>
      </c>
      <c r="BJ149" s="20">
        <v>1</v>
      </c>
      <c r="BK149" s="20">
        <v>0</v>
      </c>
      <c r="BL149" s="20">
        <v>0</v>
      </c>
      <c r="BM149" s="20">
        <v>0.84319999999999995</v>
      </c>
      <c r="BN149" s="20">
        <v>0</v>
      </c>
      <c r="BO149" s="20">
        <v>0</v>
      </c>
      <c r="BP149" s="20">
        <v>0</v>
      </c>
      <c r="BQ149" s="20">
        <v>0</v>
      </c>
      <c r="BR149" s="20">
        <v>0</v>
      </c>
      <c r="BS149" s="20">
        <v>0</v>
      </c>
      <c r="BT149" s="20">
        <v>0</v>
      </c>
      <c r="BU149" s="20">
        <v>0</v>
      </c>
      <c r="BV149" s="20">
        <v>0</v>
      </c>
      <c r="BW149" s="89">
        <v>0</v>
      </c>
      <c r="BX149" s="21">
        <v>0</v>
      </c>
      <c r="BY149" s="111">
        <v>0</v>
      </c>
      <c r="BZ149" s="21">
        <v>0</v>
      </c>
      <c r="CA149" s="21">
        <v>0</v>
      </c>
      <c r="CB149" s="21">
        <v>0</v>
      </c>
      <c r="CC149" s="20">
        <v>0</v>
      </c>
      <c r="CD149" s="20">
        <v>0</v>
      </c>
      <c r="CE149" s="89">
        <v>0</v>
      </c>
      <c r="CF149" s="20">
        <v>0</v>
      </c>
      <c r="CG149" s="20">
        <v>0</v>
      </c>
      <c r="CH149" s="20">
        <v>0</v>
      </c>
      <c r="CI149" s="21">
        <v>0</v>
      </c>
      <c r="CJ149" s="21">
        <v>0</v>
      </c>
      <c r="CK149" s="21">
        <v>0</v>
      </c>
      <c r="CL149" s="21">
        <v>0</v>
      </c>
      <c r="CM149" s="21">
        <v>0</v>
      </c>
      <c r="CN149" s="21">
        <v>0</v>
      </c>
      <c r="CO149" s="21">
        <v>0</v>
      </c>
      <c r="CP149" s="21">
        <v>0</v>
      </c>
      <c r="CQ149" s="21">
        <v>0</v>
      </c>
    </row>
    <row r="150" spans="1:95" ht="15.75" x14ac:dyDescent="0.25">
      <c r="A150" s="33" t="s">
        <v>188</v>
      </c>
      <c r="B150" s="20"/>
      <c r="C150" s="20"/>
      <c r="D150" s="20"/>
      <c r="E150" s="20"/>
      <c r="F150" s="20"/>
      <c r="G150" s="20"/>
      <c r="H150" s="20"/>
      <c r="I150" s="20"/>
      <c r="J150" s="20"/>
      <c r="K150" s="20">
        <v>77.964200000000005</v>
      </c>
      <c r="L150" s="20">
        <v>0</v>
      </c>
      <c r="M150" s="20">
        <v>0</v>
      </c>
      <c r="N150" s="20">
        <v>174.66980000000001</v>
      </c>
      <c r="O150" s="20">
        <v>3.8744999999999998</v>
      </c>
      <c r="P150" s="20">
        <v>2.2181853989642168</v>
      </c>
      <c r="Q150" s="20">
        <v>98.178899999999999</v>
      </c>
      <c r="R150" s="20">
        <v>2.5236000000000001</v>
      </c>
      <c r="S150" s="20">
        <v>2.5704097316225787</v>
      </c>
      <c r="T150" s="20">
        <v>262.31869999999998</v>
      </c>
      <c r="U150" s="20">
        <v>2.9782000000000002</v>
      </c>
      <c r="V150" s="20">
        <v>1.1353365200422236</v>
      </c>
      <c r="W150" s="20">
        <v>233.62139999999999</v>
      </c>
      <c r="X150" s="20">
        <v>2.6486999999999998</v>
      </c>
      <c r="Y150" s="20">
        <v>1.1337574383168665</v>
      </c>
      <c r="Z150" s="20">
        <v>160.2714</v>
      </c>
      <c r="AA150" s="20">
        <v>1.7709999999999999</v>
      </c>
      <c r="AB150" s="20">
        <v>1.105000642659888</v>
      </c>
      <c r="AC150" s="20">
        <v>405.61700000000002</v>
      </c>
      <c r="AD150" s="20">
        <v>8.5960999999999999</v>
      </c>
      <c r="AE150" s="20">
        <v>2.1192652181737945</v>
      </c>
      <c r="AF150" s="21">
        <v>297.73239999999998</v>
      </c>
      <c r="AG150" s="21">
        <v>6.1837999999999997</v>
      </c>
      <c r="AH150" s="20">
        <v>2.0769657585133499</v>
      </c>
      <c r="AI150" s="20">
        <v>260.99459999999999</v>
      </c>
      <c r="AJ150" s="20">
        <v>1.0051000000000001</v>
      </c>
      <c r="AK150" s="20">
        <v>0.38510375310447043</v>
      </c>
      <c r="AL150" s="21">
        <v>453.76260000000002</v>
      </c>
      <c r="AM150" s="21">
        <v>10.055899999999999</v>
      </c>
      <c r="AN150" s="20">
        <v>2.2161147701463277</v>
      </c>
      <c r="AO150" s="20">
        <v>623.50879999999995</v>
      </c>
      <c r="AP150" s="20">
        <v>10.0558</v>
      </c>
      <c r="AQ150" s="20">
        <v>1.6127759544051343</v>
      </c>
      <c r="AR150" s="20">
        <v>545.32060000000001</v>
      </c>
      <c r="AS150" s="20">
        <v>12.3567</v>
      </c>
      <c r="AT150" s="20">
        <v>2.2659514421424753</v>
      </c>
      <c r="AU150" s="20">
        <v>418.87020000000001</v>
      </c>
      <c r="AV150" s="20">
        <v>3.8193999999999999</v>
      </c>
      <c r="AW150" s="20">
        <v>0.91183378526331071</v>
      </c>
      <c r="AX150" s="20">
        <v>516.06050000000005</v>
      </c>
      <c r="AY150" s="20">
        <v>26.1143</v>
      </c>
      <c r="AZ150" s="20">
        <v>5.0603175402883966</v>
      </c>
      <c r="BA150" s="20">
        <v>395.05599999999998</v>
      </c>
      <c r="BB150" s="20">
        <v>21.6203</v>
      </c>
      <c r="BC150" s="20">
        <v>5.472717791907983</v>
      </c>
      <c r="BD150" s="20">
        <v>336.98930000000001</v>
      </c>
      <c r="BE150" s="20">
        <v>9.8826000000000001</v>
      </c>
      <c r="BF150" s="20">
        <v>2.9326153679063398</v>
      </c>
      <c r="BG150" s="20">
        <v>622.59739999999999</v>
      </c>
      <c r="BH150" s="20">
        <v>35.339799999999997</v>
      </c>
      <c r="BI150" s="20">
        <v>5.6761881755368711</v>
      </c>
      <c r="BJ150" s="20">
        <v>412.65309999999999</v>
      </c>
      <c r="BK150" s="20">
        <v>24.728899999999999</v>
      </c>
      <c r="BL150" s="20">
        <v>5.9926606633998389</v>
      </c>
      <c r="BM150" s="20">
        <v>321.51119999999997</v>
      </c>
      <c r="BN150" s="20">
        <v>11.237500000000001</v>
      </c>
      <c r="BO150" s="20">
        <v>3.4952126084565647</v>
      </c>
      <c r="BP150" s="20">
        <v>37.447400000000002</v>
      </c>
      <c r="BQ150" s="20">
        <v>13.583</v>
      </c>
      <c r="BR150" s="20">
        <v>8.9202999999999992</v>
      </c>
      <c r="BS150" s="20">
        <v>22.520900000000001</v>
      </c>
      <c r="BT150" s="20">
        <v>15.1455</v>
      </c>
      <c r="BU150" s="20">
        <v>12.966699999999999</v>
      </c>
      <c r="BV150" s="20">
        <v>18.451799999999999</v>
      </c>
      <c r="BW150" s="89">
        <v>12.001799999999999</v>
      </c>
      <c r="BX150" s="21">
        <v>10.781599999999999</v>
      </c>
      <c r="BY150" s="111">
        <v>12.771000000000001</v>
      </c>
      <c r="BZ150" s="21">
        <v>7.8217999999999996</v>
      </c>
      <c r="CA150" s="21">
        <v>6.9065000000000003</v>
      </c>
      <c r="CB150" s="21">
        <v>15.4903</v>
      </c>
      <c r="CC150" s="20">
        <v>9.2065999999999999</v>
      </c>
      <c r="CD150" s="20">
        <v>6.2346000000000004</v>
      </c>
      <c r="CE150" s="89">
        <v>17.1722</v>
      </c>
      <c r="CF150" s="20">
        <v>17.635200000000001</v>
      </c>
      <c r="CG150" s="20">
        <v>14.381</v>
      </c>
      <c r="CH150" s="20">
        <v>87.305999999999997</v>
      </c>
      <c r="CI150" s="21">
        <v>40.3917</v>
      </c>
      <c r="CJ150" s="21">
        <v>19.6173</v>
      </c>
      <c r="CK150" s="21">
        <v>74.061199999999999</v>
      </c>
      <c r="CL150" s="21">
        <v>63.121200000000002</v>
      </c>
      <c r="CM150" s="21">
        <f>26.8128+0.0001</f>
        <v>26.812899999999999</v>
      </c>
      <c r="CN150" s="21">
        <v>12.2845</v>
      </c>
      <c r="CO150" s="21">
        <f>3.1144+89.2095+0.0001</f>
        <v>92.324000000000012</v>
      </c>
      <c r="CP150" s="21">
        <f>1.65+29.8565+0.0001</f>
        <v>31.506599999999999</v>
      </c>
      <c r="CQ150" s="21">
        <f>3.5282+77.5841+0.0001</f>
        <v>81.112400000000008</v>
      </c>
    </row>
    <row r="151" spans="1:95" ht="15.75" x14ac:dyDescent="0.25">
      <c r="A151" s="34" t="s">
        <v>189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>
        <v>147.0598</v>
      </c>
      <c r="L151" s="27">
        <v>0</v>
      </c>
      <c r="M151" s="27">
        <v>0</v>
      </c>
      <c r="N151" s="27">
        <v>272.40190000000001</v>
      </c>
      <c r="O151" s="27">
        <v>3.8748</v>
      </c>
      <c r="P151" s="27">
        <v>1.4224570386623587</v>
      </c>
      <c r="Q151" s="27">
        <v>260.01560000000001</v>
      </c>
      <c r="R151" s="27">
        <v>5.63</v>
      </c>
      <c r="S151" s="27">
        <v>2.1652547001026088</v>
      </c>
      <c r="T151" s="27">
        <v>493.81599999999992</v>
      </c>
      <c r="U151" s="27">
        <v>19.6568</v>
      </c>
      <c r="V151" s="27">
        <v>3.9805919613783276</v>
      </c>
      <c r="W151" s="27">
        <v>448.94619999999998</v>
      </c>
      <c r="X151" s="27">
        <v>8.0271000000000008</v>
      </c>
      <c r="Y151" s="27">
        <v>1.7879870683836951</v>
      </c>
      <c r="Z151" s="27">
        <v>347.20519999999999</v>
      </c>
      <c r="AA151" s="27">
        <v>7.0888</v>
      </c>
      <c r="AB151" s="27">
        <v>2.0416744910502493</v>
      </c>
      <c r="AC151" s="27">
        <v>621.9316</v>
      </c>
      <c r="AD151" s="27">
        <v>40.125500000000002</v>
      </c>
      <c r="AE151" s="27">
        <v>6.4517545016204352</v>
      </c>
      <c r="AF151" s="27">
        <v>471.1737</v>
      </c>
      <c r="AG151" s="27">
        <v>16.723299999999998</v>
      </c>
      <c r="AH151" s="27">
        <v>3.549285539494246</v>
      </c>
      <c r="AI151" s="27">
        <v>412.52589999999998</v>
      </c>
      <c r="AJ151" s="27">
        <v>11.4861</v>
      </c>
      <c r="AK151" s="27">
        <v>2.7843342684665378</v>
      </c>
      <c r="AL151" s="27">
        <v>828.17949999999996</v>
      </c>
      <c r="AM151" s="27">
        <v>44.6873</v>
      </c>
      <c r="AN151" s="27">
        <v>5.3958471563229953</v>
      </c>
      <c r="AO151" s="27">
        <v>851.33130000000006</v>
      </c>
      <c r="AP151" s="27">
        <v>20.747499999999999</v>
      </c>
      <c r="AQ151" s="27">
        <v>2.4370653351991169</v>
      </c>
      <c r="AR151" s="27">
        <v>753.18280000000004</v>
      </c>
      <c r="AS151" s="27">
        <v>22.816699999999997</v>
      </c>
      <c r="AT151" s="27">
        <v>3.0293708247187796</v>
      </c>
      <c r="AU151" s="27">
        <v>1024.2754</v>
      </c>
      <c r="AV151" s="27">
        <v>14.117599999999999</v>
      </c>
      <c r="AW151" s="27">
        <v>1.3783011873564472</v>
      </c>
      <c r="AX151" s="27">
        <v>716.26020000000005</v>
      </c>
      <c r="AY151" s="27">
        <v>50.072500000000005</v>
      </c>
      <c r="AZ151" s="27">
        <v>6.9908254011600821</v>
      </c>
      <c r="BA151" s="27">
        <v>1272.5129999999999</v>
      </c>
      <c r="BB151" s="27">
        <v>48.765900000000002</v>
      </c>
      <c r="BC151" s="27">
        <v>3.8322516155041253</v>
      </c>
      <c r="BD151" s="27">
        <v>1169.3503000000003</v>
      </c>
      <c r="BE151" s="27">
        <v>36.744500000000002</v>
      </c>
      <c r="BF151" s="27">
        <v>3.1423004723221086</v>
      </c>
      <c r="BG151" s="27">
        <v>1653.7934999999998</v>
      </c>
      <c r="BH151" s="27">
        <v>110.2734</v>
      </c>
      <c r="BI151" s="27">
        <v>6.6679062410149754</v>
      </c>
      <c r="BJ151" s="27">
        <v>1640.4404999999999</v>
      </c>
      <c r="BK151" s="27">
        <v>69.9636</v>
      </c>
      <c r="BL151" s="27">
        <v>4.2649276215748149</v>
      </c>
      <c r="BM151" s="27">
        <v>1482.798</v>
      </c>
      <c r="BN151" s="27">
        <v>49.936400000000006</v>
      </c>
      <c r="BO151" s="27">
        <v>3.367714280704452</v>
      </c>
      <c r="BP151" s="27">
        <f t="shared" ref="BP151:CQ151" si="26">SUM(BP142:BP150)</f>
        <v>102.3291</v>
      </c>
      <c r="BQ151" s="27">
        <f t="shared" si="26"/>
        <v>91.683199999999999</v>
      </c>
      <c r="BR151" s="27">
        <f t="shared" si="26"/>
        <v>85.585599999999999</v>
      </c>
      <c r="BS151" s="27">
        <f t="shared" si="26"/>
        <v>99.10860000000001</v>
      </c>
      <c r="BT151" s="27">
        <f t="shared" si="26"/>
        <v>81.142400000000009</v>
      </c>
      <c r="BU151" s="27">
        <f t="shared" si="26"/>
        <v>76.214100000000002</v>
      </c>
      <c r="BV151" s="27">
        <f t="shared" si="26"/>
        <v>94.011099999999999</v>
      </c>
      <c r="BW151" s="27">
        <f t="shared" si="26"/>
        <v>81.060200000000009</v>
      </c>
      <c r="BX151" s="27">
        <f t="shared" si="26"/>
        <v>77.9255</v>
      </c>
      <c r="BY151" s="27">
        <f t="shared" si="26"/>
        <v>101.74250000000001</v>
      </c>
      <c r="BZ151" s="27">
        <f t="shared" si="26"/>
        <v>103.76159999999997</v>
      </c>
      <c r="CA151" s="27">
        <f t="shared" si="26"/>
        <v>92.817099999999982</v>
      </c>
      <c r="CB151" s="27">
        <f t="shared" si="26"/>
        <v>96.696300000000008</v>
      </c>
      <c r="CC151" s="27">
        <f t="shared" si="26"/>
        <v>115.20099999999999</v>
      </c>
      <c r="CD151" s="27">
        <f t="shared" si="26"/>
        <v>111.66930000000001</v>
      </c>
      <c r="CE151" s="27">
        <f t="shared" si="26"/>
        <v>143.0093</v>
      </c>
      <c r="CF151" s="27">
        <f t="shared" si="26"/>
        <v>141.92140000000001</v>
      </c>
      <c r="CG151" s="27">
        <f t="shared" si="26"/>
        <v>130.12899999999999</v>
      </c>
      <c r="CH151" s="27">
        <f t="shared" si="26"/>
        <v>205.49299999999999</v>
      </c>
      <c r="CI151" s="27">
        <f t="shared" si="26"/>
        <v>164.7149</v>
      </c>
      <c r="CJ151" s="27">
        <f t="shared" si="26"/>
        <v>114.77310000000001</v>
      </c>
      <c r="CK151" s="27">
        <f t="shared" si="26"/>
        <v>254.9581</v>
      </c>
      <c r="CL151" s="27">
        <f t="shared" si="26"/>
        <v>249.1173</v>
      </c>
      <c r="CM151" s="27">
        <f t="shared" si="26"/>
        <v>193.29629999999997</v>
      </c>
      <c r="CN151" s="27">
        <f t="shared" si="26"/>
        <v>167.94329999999997</v>
      </c>
      <c r="CO151" s="27">
        <f t="shared" si="26"/>
        <v>294.29930000000002</v>
      </c>
      <c r="CP151" s="27">
        <f t="shared" si="26"/>
        <v>242.30469999999997</v>
      </c>
      <c r="CQ151" s="27">
        <f t="shared" si="26"/>
        <v>303.88720000000001</v>
      </c>
    </row>
    <row r="152" spans="1:95" ht="32.25" customHeight="1" x14ac:dyDescent="0.25">
      <c r="A152" s="38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6"/>
      <c r="R152" s="6"/>
      <c r="S152" s="6"/>
      <c r="T152" s="25"/>
      <c r="U152" s="25"/>
      <c r="V152" s="25"/>
      <c r="W152" s="6"/>
      <c r="X152" s="6"/>
      <c r="Y152" s="6"/>
      <c r="Z152" s="25"/>
      <c r="AA152" s="25"/>
      <c r="AB152" s="25"/>
      <c r="AC152" s="6"/>
      <c r="AD152" s="6"/>
      <c r="AE152" s="6"/>
      <c r="AF152" s="6"/>
      <c r="AG152" s="6"/>
      <c r="AH152" s="6"/>
      <c r="AI152" s="6"/>
      <c r="AJ152" s="6"/>
      <c r="AK152" s="20"/>
      <c r="AL152" s="6"/>
      <c r="AM152" s="6"/>
      <c r="AN152" s="6"/>
      <c r="AO152" s="25"/>
      <c r="AP152" s="25"/>
      <c r="AQ152" s="25"/>
      <c r="AR152" s="6"/>
      <c r="AS152" s="6"/>
      <c r="AT152" s="20"/>
      <c r="AU152" s="25"/>
      <c r="AV152" s="25"/>
      <c r="AW152" s="25"/>
      <c r="AX152" s="6"/>
      <c r="AY152" s="6"/>
      <c r="AZ152" s="20"/>
      <c r="BA152" s="25"/>
      <c r="BB152" s="25"/>
      <c r="BC152" s="25"/>
      <c r="BD152" s="25"/>
      <c r="BE152" s="25"/>
      <c r="BF152" s="80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15"/>
      <c r="BS152" s="47"/>
      <c r="BT152" s="10"/>
      <c r="BU152" s="6"/>
      <c r="BV152" s="10"/>
      <c r="BW152" s="72"/>
      <c r="BX152" s="6"/>
      <c r="BY152" s="83"/>
      <c r="BZ152" s="6"/>
      <c r="CA152" s="6"/>
      <c r="CB152" s="6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171"/>
      <c r="CQ152" s="171"/>
    </row>
    <row r="153" spans="1:95" ht="32.25" customHeight="1" x14ac:dyDescent="0.3">
      <c r="A153" s="39" t="s">
        <v>193</v>
      </c>
      <c r="B153" s="40">
        <v>10987.37</v>
      </c>
      <c r="C153" s="40">
        <v>253.3871</v>
      </c>
      <c r="D153" s="40">
        <v>2.306166989916604</v>
      </c>
      <c r="E153" s="40">
        <v>12190.1</v>
      </c>
      <c r="F153" s="40">
        <v>381.80020000000002</v>
      </c>
      <c r="G153" s="40">
        <v>3.132051418774251</v>
      </c>
      <c r="H153" s="40">
        <v>12568.73</v>
      </c>
      <c r="I153" s="40">
        <v>342.19279999999998</v>
      </c>
      <c r="J153" s="40">
        <v>2.7225726067788871</v>
      </c>
      <c r="K153" s="40">
        <v>14172.46</v>
      </c>
      <c r="L153" s="40">
        <v>655.27610000000004</v>
      </c>
      <c r="M153" s="40">
        <v>5.9639030996498708</v>
      </c>
      <c r="N153" s="40">
        <v>22796.13</v>
      </c>
      <c r="O153" s="40">
        <v>1786.5065999999999</v>
      </c>
      <c r="P153" s="40">
        <v>7.836885471349742</v>
      </c>
      <c r="Q153" s="163">
        <v>20569.5</v>
      </c>
      <c r="R153" s="40">
        <v>1568.9544999999996</v>
      </c>
      <c r="S153" s="40">
        <v>7.6275772381438509</v>
      </c>
      <c r="T153" s="40">
        <v>23828.49</v>
      </c>
      <c r="U153" s="40">
        <v>2284.1392999999998</v>
      </c>
      <c r="V153" s="40">
        <v>9.5857492438673191</v>
      </c>
      <c r="W153" s="163">
        <v>29580.639999999999</v>
      </c>
      <c r="X153" s="40">
        <v>2398.2064</v>
      </c>
      <c r="Y153" s="40">
        <v>8.1073512946305417</v>
      </c>
      <c r="Z153" s="40">
        <v>27159.27</v>
      </c>
      <c r="AA153" s="40">
        <v>2232.4937</v>
      </c>
      <c r="AB153" s="40">
        <v>8.2200062814648547</v>
      </c>
      <c r="AC153" s="163">
        <v>31516.27</v>
      </c>
      <c r="AD153" s="40">
        <v>3091.2712000000001</v>
      </c>
      <c r="AE153" s="40">
        <v>9.8084932004961249</v>
      </c>
      <c r="AF153" s="163">
        <v>35068</v>
      </c>
      <c r="AG153" s="40">
        <v>3431.61</v>
      </c>
      <c r="AH153" s="40">
        <v>9.7855880004562561</v>
      </c>
      <c r="AI153" s="40">
        <v>29109.65</v>
      </c>
      <c r="AJ153" s="40">
        <v>2855.3254700000002</v>
      </c>
      <c r="AK153" s="40">
        <v>9.8088622501472873</v>
      </c>
      <c r="AL153" s="163">
        <v>39375.289999999994</v>
      </c>
      <c r="AM153" s="40">
        <v>4293.4674000000005</v>
      </c>
      <c r="AN153" s="40">
        <v>10.9039638819168</v>
      </c>
      <c r="AO153" s="40">
        <v>57115.26</v>
      </c>
      <c r="AP153" s="40">
        <v>4814.6464999999998</v>
      </c>
      <c r="AQ153" s="40">
        <v>8.4297024998222891</v>
      </c>
      <c r="AR153" s="40">
        <v>51511.25</v>
      </c>
      <c r="AS153" s="40">
        <v>4871.0839000000005</v>
      </c>
      <c r="AT153" s="40">
        <v>9.4563496323618637</v>
      </c>
      <c r="AU153" s="40">
        <v>44176.867100000003</v>
      </c>
      <c r="AV153" s="40">
        <v>4097.138210000001</v>
      </c>
      <c r="AW153" s="40">
        <v>9.2743973915705791</v>
      </c>
      <c r="AX153" s="40">
        <v>57322.77</v>
      </c>
      <c r="AY153" s="40">
        <v>5550.7134000000005</v>
      </c>
      <c r="AZ153" s="164">
        <v>9.6832609449962046</v>
      </c>
      <c r="BA153" s="40">
        <v>56288.885499999997</v>
      </c>
      <c r="BB153" s="40">
        <v>5884.9401999999991</v>
      </c>
      <c r="BC153" s="40">
        <v>10.454888469944922</v>
      </c>
      <c r="BD153" s="27">
        <v>50177.648500000003</v>
      </c>
      <c r="BE153" s="40">
        <v>5528.0960999999988</v>
      </c>
      <c r="BF153" s="165">
        <v>11.017048955572317</v>
      </c>
      <c r="BG153" s="40">
        <v>67339.974700000006</v>
      </c>
      <c r="BH153" s="40">
        <v>6962.0879999999997</v>
      </c>
      <c r="BI153" s="40">
        <v>10.338714903021785</v>
      </c>
      <c r="BJ153" s="27">
        <v>60497.151400000002</v>
      </c>
      <c r="BK153" s="40">
        <v>7927.2659999999996</v>
      </c>
      <c r="BL153" s="40">
        <v>13.103535979051074</v>
      </c>
      <c r="BM153" s="27">
        <v>77315.474799999996</v>
      </c>
      <c r="BN153" s="40">
        <v>7513.2173999999995</v>
      </c>
      <c r="BO153" s="40">
        <v>9.7176114088870591</v>
      </c>
      <c r="BP153" s="135">
        <f>BP68+BP139+BP151</f>
        <v>9527.0750000000007</v>
      </c>
      <c r="BQ153" s="135">
        <f t="shared" ref="BQ153:CQ153" si="27">BQ68+BQ139+BQ151</f>
        <v>9334.8384000000005</v>
      </c>
      <c r="BR153" s="135">
        <f t="shared" si="27"/>
        <v>8647.4863000000005</v>
      </c>
      <c r="BS153" s="135">
        <f t="shared" si="27"/>
        <v>14144.397000000001</v>
      </c>
      <c r="BT153" s="135">
        <f t="shared" si="27"/>
        <v>13587.2775</v>
      </c>
      <c r="BU153" s="135">
        <f t="shared" si="27"/>
        <v>12978.433299999999</v>
      </c>
      <c r="BV153" s="135">
        <f t="shared" si="27"/>
        <v>14438.856600000001</v>
      </c>
      <c r="BW153" s="135">
        <f t="shared" si="27"/>
        <v>13633.3881</v>
      </c>
      <c r="BX153" s="135">
        <f t="shared" si="27"/>
        <v>12698.157199999998</v>
      </c>
      <c r="BY153" s="135">
        <f t="shared" si="27"/>
        <v>13905.558399999998</v>
      </c>
      <c r="BZ153" s="135">
        <f t="shared" si="27"/>
        <v>13522.982400000001</v>
      </c>
      <c r="CA153" s="135">
        <f t="shared" si="27"/>
        <v>12527.36</v>
      </c>
      <c r="CB153" s="135">
        <f t="shared" si="27"/>
        <v>16362.006700000002</v>
      </c>
      <c r="CC153" s="135">
        <f t="shared" si="27"/>
        <v>16840.933099999998</v>
      </c>
      <c r="CD153" s="135">
        <f t="shared" si="27"/>
        <v>15635.385</v>
      </c>
      <c r="CE153" s="135">
        <f t="shared" si="27"/>
        <v>18267.856</v>
      </c>
      <c r="CF153" s="135">
        <f t="shared" si="27"/>
        <v>17415.890499999998</v>
      </c>
      <c r="CG153" s="135">
        <f t="shared" si="27"/>
        <v>15569.1949</v>
      </c>
      <c r="CH153" s="135">
        <f t="shared" si="27"/>
        <v>22273.360999999994</v>
      </c>
      <c r="CI153" s="135">
        <f t="shared" si="27"/>
        <v>22222.336199999998</v>
      </c>
      <c r="CJ153" s="135">
        <f t="shared" si="27"/>
        <v>18756.0834</v>
      </c>
      <c r="CK153" s="135">
        <f t="shared" si="27"/>
        <v>25219.6371</v>
      </c>
      <c r="CL153" s="135">
        <f t="shared" si="27"/>
        <v>25120.839199999999</v>
      </c>
      <c r="CM153" s="135">
        <f t="shared" si="27"/>
        <v>23743.427499999998</v>
      </c>
      <c r="CN153" s="135">
        <f t="shared" si="27"/>
        <v>20901.192199999998</v>
      </c>
      <c r="CO153" s="135">
        <f t="shared" si="27"/>
        <v>29834.378399999998</v>
      </c>
      <c r="CP153" s="135">
        <f t="shared" si="27"/>
        <v>26299.330699999999</v>
      </c>
      <c r="CQ153" s="135">
        <f t="shared" si="27"/>
        <v>31464.678899999999</v>
      </c>
    </row>
    <row r="154" spans="1:95" ht="32.25" customHeight="1" x14ac:dyDescent="0.25">
      <c r="A154" s="10" t="s">
        <v>190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74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48"/>
      <c r="BT154" s="10"/>
      <c r="BU154" s="10"/>
      <c r="BV154" s="10"/>
      <c r="BW154" s="74"/>
      <c r="BX154" s="1"/>
      <c r="BY154" s="105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56"/>
      <c r="CM154" s="1"/>
      <c r="CN154" s="1"/>
      <c r="CO154" s="1"/>
    </row>
    <row r="155" spans="1:95" ht="63" x14ac:dyDescent="0.25">
      <c r="A155" s="147" t="s">
        <v>191</v>
      </c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74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48"/>
      <c r="BT155" s="10"/>
      <c r="BU155" s="10"/>
      <c r="BV155" s="10"/>
      <c r="BW155" s="74"/>
      <c r="BX155" s="1"/>
      <c r="BY155" s="105"/>
    </row>
    <row r="156" spans="1:95" ht="15.75" x14ac:dyDescent="0.25">
      <c r="A156" s="4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</row>
    <row r="157" spans="1:95" ht="15.75" x14ac:dyDescent="0.25">
      <c r="A157" s="4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</row>
    <row r="158" spans="1:95" ht="15.75" x14ac:dyDescent="0.25">
      <c r="A158" s="4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</row>
    <row r="159" spans="1:95" ht="15.75" x14ac:dyDescent="0.25">
      <c r="A159" s="4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</row>
    <row r="160" spans="1:95" ht="15.75" x14ac:dyDescent="0.25">
      <c r="A160" s="4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</row>
    <row r="161" spans="1:77" ht="15.75" x14ac:dyDescent="0.25">
      <c r="A161" s="4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</row>
    <row r="162" spans="1:77" ht="15.75" x14ac:dyDescent="0.25">
      <c r="A162" s="4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</row>
    <row r="163" spans="1:77" ht="15.75" x14ac:dyDescent="0.25">
      <c r="A163" s="4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</row>
    <row r="165" spans="1:77" ht="15.75" x14ac:dyDescent="0.25">
      <c r="A165" s="4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</row>
    <row r="166" spans="1:77" ht="15.75" x14ac:dyDescent="0.25">
      <c r="A166" s="4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</row>
    <row r="167" spans="1:77" ht="15.75" x14ac:dyDescent="0.25">
      <c r="A167" s="4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</row>
    <row r="168" spans="1:77" ht="15.75" x14ac:dyDescent="0.25">
      <c r="A168" s="4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</row>
    <row r="169" spans="1:77" ht="15.75" x14ac:dyDescent="0.25">
      <c r="A169" s="4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</row>
    <row r="170" spans="1:77" ht="15.75" x14ac:dyDescent="0.25">
      <c r="A170" s="4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</row>
    <row r="171" spans="1:77" ht="15.75" x14ac:dyDescent="0.25">
      <c r="A171" s="41"/>
    </row>
    <row r="172" spans="1:77" ht="15.75" x14ac:dyDescent="0.25">
      <c r="A172" s="41"/>
    </row>
    <row r="173" spans="1:77" ht="15.75" x14ac:dyDescent="0.25">
      <c r="A173" s="41"/>
    </row>
    <row r="174" spans="1:77" ht="15.75" x14ac:dyDescent="0.25">
      <c r="A174" s="41"/>
    </row>
    <row r="175" spans="1:77" ht="15.75" x14ac:dyDescent="0.25">
      <c r="A175" s="41"/>
    </row>
    <row r="176" spans="1:77" ht="15.75" x14ac:dyDescent="0.25">
      <c r="A176" s="41"/>
    </row>
    <row r="177" spans="1:1" ht="15.75" x14ac:dyDescent="0.25">
      <c r="A177" s="41"/>
    </row>
    <row r="178" spans="1:1" ht="15.75" x14ac:dyDescent="0.25">
      <c r="A178" s="41"/>
    </row>
    <row r="179" spans="1:1" ht="15.75" x14ac:dyDescent="0.25">
      <c r="A179" s="41"/>
    </row>
    <row r="180" spans="1:1" ht="15.75" x14ac:dyDescent="0.25">
      <c r="A180" s="41"/>
    </row>
    <row r="181" spans="1:1" ht="15.75" x14ac:dyDescent="0.25">
      <c r="A181" s="41"/>
    </row>
    <row r="182" spans="1:1" ht="15.75" x14ac:dyDescent="0.25">
      <c r="A182" s="41"/>
    </row>
    <row r="183" spans="1:1" ht="15.75" x14ac:dyDescent="0.25">
      <c r="A183" s="41"/>
    </row>
    <row r="184" spans="1:1" ht="15.75" x14ac:dyDescent="0.25">
      <c r="A184" s="41"/>
    </row>
    <row r="185" spans="1:1" ht="15.75" x14ac:dyDescent="0.25">
      <c r="A185" s="41"/>
    </row>
    <row r="186" spans="1:1" ht="15.75" x14ac:dyDescent="0.25">
      <c r="A186" s="41"/>
    </row>
    <row r="187" spans="1:1" ht="15.75" x14ac:dyDescent="0.25">
      <c r="A187" s="41"/>
    </row>
    <row r="188" spans="1:1" ht="15.75" x14ac:dyDescent="0.25">
      <c r="A188" s="41"/>
    </row>
    <row r="189" spans="1:1" ht="15.75" x14ac:dyDescent="0.25">
      <c r="A189" s="41"/>
    </row>
    <row r="190" spans="1:1" ht="15.75" x14ac:dyDescent="0.25">
      <c r="A190" s="41"/>
    </row>
    <row r="191" spans="1:1" ht="15.75" x14ac:dyDescent="0.25">
      <c r="A191" s="41"/>
    </row>
    <row r="192" spans="1:1" ht="15.75" x14ac:dyDescent="0.25">
      <c r="A192" s="41"/>
    </row>
    <row r="193" spans="1:1" ht="15.75" x14ac:dyDescent="0.25">
      <c r="A193" s="41"/>
    </row>
    <row r="194" spans="1:1" ht="15.75" x14ac:dyDescent="0.25">
      <c r="A194" s="41"/>
    </row>
    <row r="195" spans="1:1" ht="15.75" x14ac:dyDescent="0.25">
      <c r="A195" s="41"/>
    </row>
    <row r="196" spans="1:1" ht="15.75" x14ac:dyDescent="0.25">
      <c r="A196" s="41"/>
    </row>
    <row r="197" spans="1:1" ht="15.75" x14ac:dyDescent="0.25">
      <c r="A197" s="41"/>
    </row>
    <row r="198" spans="1:1" ht="15.75" x14ac:dyDescent="0.25">
      <c r="A198" s="41"/>
    </row>
    <row r="199" spans="1:1" ht="15.75" x14ac:dyDescent="0.25">
      <c r="A199" s="41"/>
    </row>
    <row r="200" spans="1:1" ht="15.75" x14ac:dyDescent="0.25">
      <c r="A200" s="41"/>
    </row>
    <row r="201" spans="1:1" ht="15.75" x14ac:dyDescent="0.25">
      <c r="A201" s="41"/>
    </row>
    <row r="202" spans="1:1" ht="15.75" x14ac:dyDescent="0.25">
      <c r="A202" s="41"/>
    </row>
    <row r="203" spans="1:1" ht="15.75" x14ac:dyDescent="0.25">
      <c r="A203" s="41"/>
    </row>
    <row r="204" spans="1:1" ht="15.75" x14ac:dyDescent="0.25">
      <c r="A204" s="41"/>
    </row>
    <row r="205" spans="1:1" ht="15.75" x14ac:dyDescent="0.25">
      <c r="A205" s="41"/>
    </row>
    <row r="206" spans="1:1" ht="15.75" x14ac:dyDescent="0.25">
      <c r="A206" s="41"/>
    </row>
    <row r="207" spans="1:1" ht="15.75" x14ac:dyDescent="0.25">
      <c r="A207" s="41"/>
    </row>
    <row r="208" spans="1:1" ht="15.75" x14ac:dyDescent="0.25">
      <c r="A208" s="41"/>
    </row>
    <row r="209" spans="1:1" ht="15.75" x14ac:dyDescent="0.25">
      <c r="A209" s="41"/>
    </row>
    <row r="210" spans="1:1" ht="15.75" x14ac:dyDescent="0.25">
      <c r="A210" s="41"/>
    </row>
    <row r="211" spans="1:1" ht="15.75" x14ac:dyDescent="0.25">
      <c r="A211" s="41"/>
    </row>
    <row r="212" spans="1:1" ht="15.75" x14ac:dyDescent="0.25">
      <c r="A212" s="41"/>
    </row>
    <row r="213" spans="1:1" ht="15.75" x14ac:dyDescent="0.25">
      <c r="A213" s="41"/>
    </row>
    <row r="214" spans="1:1" ht="15.75" x14ac:dyDescent="0.25">
      <c r="A214" s="41"/>
    </row>
    <row r="215" spans="1:1" ht="15.75" x14ac:dyDescent="0.25">
      <c r="A215" s="41"/>
    </row>
    <row r="216" spans="1:1" ht="15.75" x14ac:dyDescent="0.25">
      <c r="A216" s="41"/>
    </row>
    <row r="217" spans="1:1" ht="15.75" x14ac:dyDescent="0.25">
      <c r="A217" s="41"/>
    </row>
    <row r="218" spans="1:1" ht="15.75" x14ac:dyDescent="0.25">
      <c r="A218" s="41"/>
    </row>
    <row r="219" spans="1:1" ht="15.75" x14ac:dyDescent="0.25">
      <c r="A219" s="41"/>
    </row>
    <row r="220" spans="1:1" ht="15.75" x14ac:dyDescent="0.25">
      <c r="A220" s="41"/>
    </row>
    <row r="221" spans="1:1" ht="15.75" x14ac:dyDescent="0.25">
      <c r="A221" s="41"/>
    </row>
    <row r="222" spans="1:1" ht="15.75" x14ac:dyDescent="0.25">
      <c r="A222" s="41"/>
    </row>
    <row r="223" spans="1:1" ht="15.75" x14ac:dyDescent="0.25">
      <c r="A223" s="41"/>
    </row>
    <row r="224" spans="1:1" ht="15.75" x14ac:dyDescent="0.25">
      <c r="A224" s="41"/>
    </row>
    <row r="225" spans="1:1" ht="15.75" x14ac:dyDescent="0.25">
      <c r="A225" s="41"/>
    </row>
    <row r="226" spans="1:1" ht="15.75" x14ac:dyDescent="0.25">
      <c r="A226" s="41"/>
    </row>
    <row r="227" spans="1:1" ht="15.75" x14ac:dyDescent="0.25">
      <c r="A227" s="41"/>
    </row>
    <row r="228" spans="1:1" ht="15.75" x14ac:dyDescent="0.25">
      <c r="A228" s="41"/>
    </row>
    <row r="229" spans="1:1" ht="15.75" x14ac:dyDescent="0.25">
      <c r="A229" s="41"/>
    </row>
    <row r="230" spans="1:1" ht="15.75" x14ac:dyDescent="0.25">
      <c r="A230" s="41"/>
    </row>
    <row r="231" spans="1:1" ht="15.75" x14ac:dyDescent="0.25">
      <c r="A231" s="41"/>
    </row>
    <row r="232" spans="1:1" ht="15.75" x14ac:dyDescent="0.25">
      <c r="A232" s="41"/>
    </row>
    <row r="233" spans="1:1" ht="15.75" x14ac:dyDescent="0.25">
      <c r="A233" s="41"/>
    </row>
    <row r="234" spans="1:1" ht="15.75" x14ac:dyDescent="0.25">
      <c r="A234" s="41"/>
    </row>
    <row r="235" spans="1:1" ht="15.75" x14ac:dyDescent="0.25">
      <c r="A235" s="41"/>
    </row>
    <row r="236" spans="1:1" ht="15.75" x14ac:dyDescent="0.25">
      <c r="A236" s="41"/>
    </row>
    <row r="237" spans="1:1" ht="15.75" x14ac:dyDescent="0.25">
      <c r="A237" s="41"/>
    </row>
    <row r="238" spans="1:1" ht="15.75" x14ac:dyDescent="0.25">
      <c r="A238" s="41"/>
    </row>
    <row r="239" spans="1:1" ht="15.75" x14ac:dyDescent="0.25">
      <c r="A239" s="41"/>
    </row>
    <row r="240" spans="1:1" ht="15.75" x14ac:dyDescent="0.25">
      <c r="A240" s="41"/>
    </row>
    <row r="241" spans="1:1" ht="15.75" x14ac:dyDescent="0.25">
      <c r="A241" s="41"/>
    </row>
    <row r="242" spans="1:1" ht="15.75" x14ac:dyDescent="0.25">
      <c r="A242" s="41"/>
    </row>
    <row r="243" spans="1:1" ht="15.75" x14ac:dyDescent="0.25">
      <c r="A243" s="41"/>
    </row>
    <row r="244" spans="1:1" ht="15.75" x14ac:dyDescent="0.25">
      <c r="A244" s="41"/>
    </row>
    <row r="245" spans="1:1" ht="15.75" x14ac:dyDescent="0.25">
      <c r="A245" s="41"/>
    </row>
    <row r="246" spans="1:1" ht="15.75" x14ac:dyDescent="0.25">
      <c r="A246" s="41"/>
    </row>
    <row r="247" spans="1:1" ht="15.75" x14ac:dyDescent="0.25">
      <c r="A247" s="41"/>
    </row>
    <row r="248" spans="1:1" ht="15.75" x14ac:dyDescent="0.25">
      <c r="A248" s="41"/>
    </row>
    <row r="249" spans="1:1" ht="15.75" x14ac:dyDescent="0.25">
      <c r="A249" s="41"/>
    </row>
    <row r="250" spans="1:1" ht="15.75" x14ac:dyDescent="0.25">
      <c r="A250" s="41"/>
    </row>
    <row r="251" spans="1:1" ht="15.75" x14ac:dyDescent="0.25">
      <c r="A251" s="41"/>
    </row>
    <row r="252" spans="1:1" ht="15.75" x14ac:dyDescent="0.25">
      <c r="A252" s="41"/>
    </row>
    <row r="253" spans="1:1" ht="15.75" x14ac:dyDescent="0.25">
      <c r="A253" s="41"/>
    </row>
    <row r="254" spans="1:1" ht="15.75" x14ac:dyDescent="0.25">
      <c r="A254" s="41"/>
    </row>
    <row r="255" spans="1:1" ht="15.75" x14ac:dyDescent="0.25">
      <c r="A255" s="41"/>
    </row>
    <row r="256" spans="1:1" ht="15.75" x14ac:dyDescent="0.25">
      <c r="A256" s="41"/>
    </row>
    <row r="257" spans="1:1" ht="15.75" x14ac:dyDescent="0.25">
      <c r="A257" s="41"/>
    </row>
    <row r="258" spans="1:1" ht="15.75" x14ac:dyDescent="0.25">
      <c r="A258" s="41"/>
    </row>
    <row r="259" spans="1:1" ht="15.75" x14ac:dyDescent="0.25">
      <c r="A259" s="41"/>
    </row>
    <row r="260" spans="1:1" ht="15.75" x14ac:dyDescent="0.25">
      <c r="A260" s="41"/>
    </row>
    <row r="261" spans="1:1" ht="15.75" x14ac:dyDescent="0.25">
      <c r="A261" s="41"/>
    </row>
    <row r="262" spans="1:1" ht="15.75" x14ac:dyDescent="0.25">
      <c r="A262" s="41"/>
    </row>
    <row r="263" spans="1:1" ht="15.75" x14ac:dyDescent="0.25">
      <c r="A263" s="41"/>
    </row>
    <row r="264" spans="1:1" ht="15.75" x14ac:dyDescent="0.25">
      <c r="A264" s="41"/>
    </row>
    <row r="265" spans="1:1" ht="15.75" x14ac:dyDescent="0.25">
      <c r="A265" s="41"/>
    </row>
    <row r="266" spans="1:1" ht="15.75" x14ac:dyDescent="0.25">
      <c r="A266" s="41"/>
    </row>
    <row r="267" spans="1:1" ht="15.75" x14ac:dyDescent="0.25">
      <c r="A267" s="41"/>
    </row>
    <row r="268" spans="1:1" ht="15.75" x14ac:dyDescent="0.25">
      <c r="A268" s="41"/>
    </row>
    <row r="269" spans="1:1" ht="15.75" x14ac:dyDescent="0.25">
      <c r="A269" s="41"/>
    </row>
    <row r="270" spans="1:1" ht="15.75" x14ac:dyDescent="0.25">
      <c r="A270" s="41"/>
    </row>
    <row r="271" spans="1:1" ht="15.75" x14ac:dyDescent="0.25">
      <c r="A271" s="41"/>
    </row>
    <row r="272" spans="1:1" ht="15.75" x14ac:dyDescent="0.25">
      <c r="A272" s="41"/>
    </row>
    <row r="273" spans="1:1" ht="15.75" x14ac:dyDescent="0.25">
      <c r="A273" s="41"/>
    </row>
    <row r="274" spans="1:1" ht="15.75" x14ac:dyDescent="0.25">
      <c r="A274" s="41"/>
    </row>
    <row r="275" spans="1:1" ht="15.75" x14ac:dyDescent="0.25">
      <c r="A275" s="41"/>
    </row>
    <row r="276" spans="1:1" ht="15.75" x14ac:dyDescent="0.25">
      <c r="A276" s="41"/>
    </row>
    <row r="277" spans="1:1" ht="15.75" x14ac:dyDescent="0.25">
      <c r="A277" s="41"/>
    </row>
    <row r="278" spans="1:1" ht="15.75" x14ac:dyDescent="0.25">
      <c r="A278" s="41"/>
    </row>
    <row r="279" spans="1:1" ht="15.75" x14ac:dyDescent="0.25">
      <c r="A279" s="41"/>
    </row>
    <row r="280" spans="1:1" ht="15.75" x14ac:dyDescent="0.25">
      <c r="A280" s="41"/>
    </row>
    <row r="281" spans="1:1" ht="15.75" x14ac:dyDescent="0.25">
      <c r="A281" s="41"/>
    </row>
    <row r="282" spans="1:1" ht="15.75" x14ac:dyDescent="0.25">
      <c r="A282" s="41"/>
    </row>
    <row r="283" spans="1:1" ht="15.75" x14ac:dyDescent="0.25">
      <c r="A283" s="41"/>
    </row>
    <row r="284" spans="1:1" ht="15.75" x14ac:dyDescent="0.25">
      <c r="A284" s="41"/>
    </row>
    <row r="285" spans="1:1" ht="15.75" x14ac:dyDescent="0.25">
      <c r="A285" s="41"/>
    </row>
    <row r="286" spans="1:1" ht="15.75" x14ac:dyDescent="0.25">
      <c r="A286" s="41"/>
    </row>
    <row r="287" spans="1:1" ht="15.75" x14ac:dyDescent="0.25">
      <c r="A287" s="41"/>
    </row>
    <row r="288" spans="1:1" ht="15.75" x14ac:dyDescent="0.25">
      <c r="A288" s="41"/>
    </row>
    <row r="289" spans="1:1" ht="15.75" x14ac:dyDescent="0.25">
      <c r="A289" s="41"/>
    </row>
    <row r="290" spans="1:1" ht="15.75" x14ac:dyDescent="0.25">
      <c r="A290" s="41"/>
    </row>
    <row r="291" spans="1:1" ht="15.75" x14ac:dyDescent="0.25">
      <c r="A291" s="41"/>
    </row>
    <row r="292" spans="1:1" ht="15.75" x14ac:dyDescent="0.25">
      <c r="A292" s="41"/>
    </row>
    <row r="293" spans="1:1" ht="15.75" x14ac:dyDescent="0.25">
      <c r="A293" s="41"/>
    </row>
    <row r="294" spans="1:1" ht="15.75" x14ac:dyDescent="0.25">
      <c r="A294" s="41"/>
    </row>
    <row r="295" spans="1:1" ht="15.75" x14ac:dyDescent="0.25">
      <c r="A295" s="41"/>
    </row>
    <row r="296" spans="1:1" ht="15.75" x14ac:dyDescent="0.25">
      <c r="A296" s="41"/>
    </row>
    <row r="297" spans="1:1" ht="15.75" x14ac:dyDescent="0.25">
      <c r="A297" s="41"/>
    </row>
    <row r="298" spans="1:1" ht="15.75" x14ac:dyDescent="0.25">
      <c r="A298" s="41"/>
    </row>
    <row r="299" spans="1:1" ht="15.75" x14ac:dyDescent="0.25">
      <c r="A299" s="41"/>
    </row>
    <row r="300" spans="1:1" ht="15.75" x14ac:dyDescent="0.25">
      <c r="A300" s="41"/>
    </row>
    <row r="301" spans="1:1" ht="15.75" x14ac:dyDescent="0.25">
      <c r="A301" s="41"/>
    </row>
    <row r="302" spans="1:1" ht="15.75" x14ac:dyDescent="0.25">
      <c r="A302" s="41"/>
    </row>
    <row r="303" spans="1:1" ht="15.75" x14ac:dyDescent="0.25">
      <c r="A303" s="41"/>
    </row>
    <row r="304" spans="1:1" ht="15.75" x14ac:dyDescent="0.25">
      <c r="A304" s="41"/>
    </row>
    <row r="305" spans="1:1" ht="15.75" x14ac:dyDescent="0.25">
      <c r="A305" s="41"/>
    </row>
    <row r="306" spans="1:1" ht="15.75" x14ac:dyDescent="0.25">
      <c r="A306" s="41"/>
    </row>
    <row r="307" spans="1:1" ht="15.75" x14ac:dyDescent="0.25">
      <c r="A307" s="41"/>
    </row>
    <row r="308" spans="1:1" ht="15.75" x14ac:dyDescent="0.25">
      <c r="A308" s="41"/>
    </row>
    <row r="309" spans="1:1" ht="15.75" x14ac:dyDescent="0.25">
      <c r="A309" s="41"/>
    </row>
    <row r="310" spans="1:1" ht="15.75" x14ac:dyDescent="0.25">
      <c r="A310" s="41"/>
    </row>
    <row r="311" spans="1:1" ht="15.75" x14ac:dyDescent="0.25">
      <c r="A311" s="41"/>
    </row>
    <row r="312" spans="1:1" ht="15.75" x14ac:dyDescent="0.25">
      <c r="A312" s="41"/>
    </row>
    <row r="313" spans="1:1" ht="15.75" x14ac:dyDescent="0.25">
      <c r="A313" s="41"/>
    </row>
    <row r="314" spans="1:1" ht="15.75" x14ac:dyDescent="0.25">
      <c r="A314" s="41"/>
    </row>
    <row r="315" spans="1:1" ht="15.75" x14ac:dyDescent="0.25">
      <c r="A315" s="41"/>
    </row>
    <row r="316" spans="1:1" ht="15.75" x14ac:dyDescent="0.25">
      <c r="A316" s="41"/>
    </row>
    <row r="317" spans="1:1" ht="15.75" x14ac:dyDescent="0.25">
      <c r="A317" s="41"/>
    </row>
    <row r="318" spans="1:1" ht="15.75" x14ac:dyDescent="0.25">
      <c r="A318" s="41"/>
    </row>
    <row r="319" spans="1:1" ht="15.75" x14ac:dyDescent="0.25">
      <c r="A319" s="41"/>
    </row>
    <row r="320" spans="1:1" ht="15.75" x14ac:dyDescent="0.25">
      <c r="A320" s="41"/>
    </row>
    <row r="321" spans="1:1" ht="15.75" x14ac:dyDescent="0.25">
      <c r="A321" s="41"/>
    </row>
    <row r="322" spans="1:1" ht="15.75" x14ac:dyDescent="0.25">
      <c r="A322" s="41"/>
    </row>
    <row r="323" spans="1:1" ht="15.75" x14ac:dyDescent="0.25">
      <c r="A323" s="41"/>
    </row>
    <row r="324" spans="1:1" ht="15.75" x14ac:dyDescent="0.25">
      <c r="A324" s="41"/>
    </row>
    <row r="325" spans="1:1" ht="15.75" x14ac:dyDescent="0.25">
      <c r="A325" s="41"/>
    </row>
    <row r="326" spans="1:1" ht="15.75" x14ac:dyDescent="0.25">
      <c r="A326" s="41"/>
    </row>
    <row r="327" spans="1:1" ht="15.75" x14ac:dyDescent="0.25">
      <c r="A327" s="41"/>
    </row>
    <row r="328" spans="1:1" ht="15.75" x14ac:dyDescent="0.25">
      <c r="A328" s="41"/>
    </row>
    <row r="329" spans="1:1" ht="15.75" x14ac:dyDescent="0.25">
      <c r="A329" s="41"/>
    </row>
    <row r="330" spans="1:1" ht="15.75" x14ac:dyDescent="0.25">
      <c r="A330" s="41"/>
    </row>
    <row r="331" spans="1:1" ht="15.75" x14ac:dyDescent="0.25">
      <c r="A331" s="41"/>
    </row>
    <row r="332" spans="1:1" ht="15.75" x14ac:dyDescent="0.25">
      <c r="A332" s="41"/>
    </row>
    <row r="333" spans="1:1" ht="15.75" x14ac:dyDescent="0.25">
      <c r="A333" s="41"/>
    </row>
    <row r="334" spans="1:1" ht="15.75" x14ac:dyDescent="0.25">
      <c r="A334" s="41"/>
    </row>
    <row r="335" spans="1:1" ht="15.75" x14ac:dyDescent="0.25">
      <c r="A335" s="41"/>
    </row>
    <row r="336" spans="1:1" ht="15.75" x14ac:dyDescent="0.25">
      <c r="A336" s="41"/>
    </row>
    <row r="337" spans="1:1" ht="15.75" x14ac:dyDescent="0.25">
      <c r="A337" s="41"/>
    </row>
    <row r="338" spans="1:1" ht="15.75" x14ac:dyDescent="0.25">
      <c r="A338" s="41"/>
    </row>
    <row r="339" spans="1:1" ht="15.75" x14ac:dyDescent="0.25">
      <c r="A339" s="41"/>
    </row>
    <row r="340" spans="1:1" ht="15.75" x14ac:dyDescent="0.25">
      <c r="A340" s="41"/>
    </row>
    <row r="341" spans="1:1" ht="15.75" x14ac:dyDescent="0.25">
      <c r="A341" s="41"/>
    </row>
    <row r="342" spans="1:1" ht="15.75" x14ac:dyDescent="0.25">
      <c r="A342" s="41"/>
    </row>
    <row r="343" spans="1:1" ht="15.75" x14ac:dyDescent="0.25">
      <c r="A343" s="41"/>
    </row>
    <row r="344" spans="1:1" ht="15.75" x14ac:dyDescent="0.25">
      <c r="A344" s="41"/>
    </row>
    <row r="345" spans="1:1" ht="15.75" x14ac:dyDescent="0.25">
      <c r="A345" s="41"/>
    </row>
    <row r="346" spans="1:1" ht="15.75" x14ac:dyDescent="0.25">
      <c r="A346" s="41"/>
    </row>
    <row r="347" spans="1:1" ht="15.75" x14ac:dyDescent="0.25">
      <c r="A347" s="41"/>
    </row>
    <row r="348" spans="1:1" ht="15.75" x14ac:dyDescent="0.25">
      <c r="A348" s="41"/>
    </row>
    <row r="349" spans="1:1" ht="15.75" x14ac:dyDescent="0.25">
      <c r="A349" s="41"/>
    </row>
    <row r="350" spans="1:1" ht="15.75" x14ac:dyDescent="0.25">
      <c r="A350" s="41"/>
    </row>
    <row r="351" spans="1:1" ht="15.75" x14ac:dyDescent="0.25">
      <c r="A351" s="41"/>
    </row>
    <row r="352" spans="1:1" ht="15.75" x14ac:dyDescent="0.25">
      <c r="A352" s="41"/>
    </row>
    <row r="353" spans="1:1" ht="15.75" x14ac:dyDescent="0.25">
      <c r="A353" s="41"/>
    </row>
    <row r="354" spans="1:1" ht="15.75" x14ac:dyDescent="0.25">
      <c r="A354" s="41"/>
    </row>
    <row r="355" spans="1:1" ht="15.75" x14ac:dyDescent="0.25">
      <c r="A355" s="41"/>
    </row>
    <row r="356" spans="1:1" ht="15.75" x14ac:dyDescent="0.25">
      <c r="A356" s="41"/>
    </row>
    <row r="357" spans="1:1" ht="15.75" x14ac:dyDescent="0.25">
      <c r="A357" s="41"/>
    </row>
    <row r="358" spans="1:1" ht="15.75" x14ac:dyDescent="0.25">
      <c r="A358" s="41"/>
    </row>
    <row r="359" spans="1:1" ht="15.75" x14ac:dyDescent="0.25">
      <c r="A359" s="41"/>
    </row>
    <row r="360" spans="1:1" ht="15.75" x14ac:dyDescent="0.25">
      <c r="A360" s="41"/>
    </row>
    <row r="361" spans="1:1" ht="15.75" x14ac:dyDescent="0.25">
      <c r="A361" s="41"/>
    </row>
    <row r="362" spans="1:1" ht="15.75" x14ac:dyDescent="0.25">
      <c r="A362" s="41"/>
    </row>
    <row r="363" spans="1:1" ht="15.75" x14ac:dyDescent="0.25">
      <c r="A363" s="41"/>
    </row>
    <row r="364" spans="1:1" ht="15.75" x14ac:dyDescent="0.25">
      <c r="A364" s="41"/>
    </row>
    <row r="365" spans="1:1" ht="15.75" x14ac:dyDescent="0.25">
      <c r="A365" s="41"/>
    </row>
    <row r="366" spans="1:1" ht="15.75" x14ac:dyDescent="0.25">
      <c r="A366" s="41"/>
    </row>
    <row r="367" spans="1:1" ht="15.75" x14ac:dyDescent="0.25">
      <c r="A367" s="41"/>
    </row>
    <row r="368" spans="1:1" ht="15.75" x14ac:dyDescent="0.25">
      <c r="A368" s="41"/>
    </row>
    <row r="369" spans="1:1" ht="15.75" x14ac:dyDescent="0.25">
      <c r="A369" s="41"/>
    </row>
    <row r="370" spans="1:1" ht="15.75" x14ac:dyDescent="0.25">
      <c r="A370" s="41"/>
    </row>
    <row r="371" spans="1:1" ht="15.75" x14ac:dyDescent="0.25">
      <c r="A371" s="41"/>
    </row>
    <row r="372" spans="1:1" ht="15.75" x14ac:dyDescent="0.25">
      <c r="A372" s="41"/>
    </row>
    <row r="373" spans="1:1" ht="15.75" x14ac:dyDescent="0.25">
      <c r="A373" s="41"/>
    </row>
    <row r="374" spans="1:1" ht="15.75" x14ac:dyDescent="0.25">
      <c r="A374" s="41"/>
    </row>
    <row r="375" spans="1:1" ht="15.75" x14ac:dyDescent="0.25">
      <c r="A375" s="41"/>
    </row>
    <row r="376" spans="1:1" ht="15.75" x14ac:dyDescent="0.25">
      <c r="A376" s="41"/>
    </row>
    <row r="377" spans="1:1" ht="15.75" x14ac:dyDescent="0.25">
      <c r="A377" s="41"/>
    </row>
    <row r="378" spans="1:1" ht="15.75" x14ac:dyDescent="0.25">
      <c r="A378" s="41"/>
    </row>
    <row r="379" spans="1:1" ht="15.75" x14ac:dyDescent="0.25">
      <c r="A379" s="41"/>
    </row>
    <row r="380" spans="1:1" ht="15.75" x14ac:dyDescent="0.25">
      <c r="A380" s="41"/>
    </row>
    <row r="381" spans="1:1" ht="15.75" x14ac:dyDescent="0.25">
      <c r="A381" s="41"/>
    </row>
    <row r="382" spans="1:1" ht="15.75" x14ac:dyDescent="0.25">
      <c r="A382" s="41"/>
    </row>
    <row r="383" spans="1:1" ht="15.75" x14ac:dyDescent="0.25">
      <c r="A383" s="41"/>
    </row>
    <row r="384" spans="1:1" ht="15.75" x14ac:dyDescent="0.25">
      <c r="A384" s="41"/>
    </row>
    <row r="385" spans="1:1" ht="15.75" x14ac:dyDescent="0.25">
      <c r="A385" s="41"/>
    </row>
    <row r="386" spans="1:1" ht="15.75" x14ac:dyDescent="0.25">
      <c r="A386" s="41"/>
    </row>
    <row r="387" spans="1:1" ht="15.75" x14ac:dyDescent="0.25">
      <c r="A387" s="41"/>
    </row>
    <row r="388" spans="1:1" ht="15.75" x14ac:dyDescent="0.25">
      <c r="A388" s="41"/>
    </row>
    <row r="389" spans="1:1" ht="15.75" x14ac:dyDescent="0.25">
      <c r="A389" s="41"/>
    </row>
    <row r="390" spans="1:1" ht="15.75" x14ac:dyDescent="0.25">
      <c r="A390" s="41"/>
    </row>
    <row r="391" spans="1:1" ht="15.75" x14ac:dyDescent="0.25">
      <c r="A391" s="41"/>
    </row>
    <row r="392" spans="1:1" ht="15.75" x14ac:dyDescent="0.25">
      <c r="A392" s="41"/>
    </row>
    <row r="393" spans="1:1" ht="15.75" x14ac:dyDescent="0.25">
      <c r="A393" s="41"/>
    </row>
    <row r="394" spans="1:1" ht="15.75" x14ac:dyDescent="0.25">
      <c r="A394" s="41"/>
    </row>
    <row r="395" spans="1:1" ht="15.75" x14ac:dyDescent="0.25">
      <c r="A395" s="41"/>
    </row>
    <row r="396" spans="1:1" ht="15.75" x14ac:dyDescent="0.25">
      <c r="A396" s="41"/>
    </row>
    <row r="397" spans="1:1" ht="15.75" x14ac:dyDescent="0.25">
      <c r="A397" s="41"/>
    </row>
    <row r="398" spans="1:1" ht="15.75" x14ac:dyDescent="0.25">
      <c r="A398" s="41"/>
    </row>
    <row r="399" spans="1:1" ht="15.75" x14ac:dyDescent="0.25">
      <c r="A399" s="41"/>
    </row>
    <row r="400" spans="1:1" ht="15.75" x14ac:dyDescent="0.25">
      <c r="A400" s="41"/>
    </row>
    <row r="401" spans="1:1" ht="15.75" x14ac:dyDescent="0.25">
      <c r="A401" s="41"/>
    </row>
    <row r="402" spans="1:1" ht="15.75" x14ac:dyDescent="0.25">
      <c r="A402" s="41"/>
    </row>
    <row r="403" spans="1:1" ht="15.75" x14ac:dyDescent="0.25">
      <c r="A403" s="41"/>
    </row>
    <row r="404" spans="1:1" ht="15.75" x14ac:dyDescent="0.25">
      <c r="A404" s="41"/>
    </row>
    <row r="405" spans="1:1" ht="15.75" x14ac:dyDescent="0.25">
      <c r="A405" s="41"/>
    </row>
    <row r="406" spans="1:1" ht="15.75" x14ac:dyDescent="0.25">
      <c r="A406" s="41"/>
    </row>
    <row r="407" spans="1:1" ht="15.75" x14ac:dyDescent="0.25">
      <c r="A407" s="41"/>
    </row>
    <row r="408" spans="1:1" ht="15.75" x14ac:dyDescent="0.25">
      <c r="A408" s="41"/>
    </row>
    <row r="409" spans="1:1" ht="15.75" x14ac:dyDescent="0.25">
      <c r="A409" s="41"/>
    </row>
    <row r="410" spans="1:1" ht="15.75" x14ac:dyDescent="0.25">
      <c r="A410" s="41"/>
    </row>
    <row r="411" spans="1:1" ht="15.75" x14ac:dyDescent="0.25">
      <c r="A411" s="41"/>
    </row>
    <row r="412" spans="1:1" ht="15.75" x14ac:dyDescent="0.25">
      <c r="A412" s="41"/>
    </row>
    <row r="413" spans="1:1" ht="15.75" x14ac:dyDescent="0.25">
      <c r="A413" s="41"/>
    </row>
    <row r="414" spans="1:1" ht="15.75" x14ac:dyDescent="0.25">
      <c r="A414" s="41"/>
    </row>
    <row r="415" spans="1:1" ht="15.75" x14ac:dyDescent="0.25">
      <c r="A415" s="41"/>
    </row>
    <row r="416" spans="1:1" ht="15.75" x14ac:dyDescent="0.25">
      <c r="A416" s="41"/>
    </row>
    <row r="417" spans="1:1" ht="15.75" x14ac:dyDescent="0.25">
      <c r="A417" s="41"/>
    </row>
    <row r="418" spans="1:1" ht="15.75" x14ac:dyDescent="0.25">
      <c r="A418" s="41"/>
    </row>
    <row r="419" spans="1:1" ht="15.75" x14ac:dyDescent="0.25">
      <c r="A419" s="41"/>
    </row>
    <row r="420" spans="1:1" ht="15.75" x14ac:dyDescent="0.25">
      <c r="A420" s="41"/>
    </row>
    <row r="421" spans="1:1" ht="15.75" x14ac:dyDescent="0.25">
      <c r="A421" s="41"/>
    </row>
    <row r="422" spans="1:1" ht="15.75" x14ac:dyDescent="0.25">
      <c r="A422" s="41"/>
    </row>
    <row r="423" spans="1:1" ht="15.75" x14ac:dyDescent="0.25">
      <c r="A423" s="41"/>
    </row>
    <row r="424" spans="1:1" ht="15.75" x14ac:dyDescent="0.25">
      <c r="A424" s="41"/>
    </row>
    <row r="425" spans="1:1" ht="15.75" x14ac:dyDescent="0.25">
      <c r="A425" s="41"/>
    </row>
    <row r="426" spans="1:1" ht="15.75" x14ac:dyDescent="0.25">
      <c r="A426" s="41"/>
    </row>
    <row r="427" spans="1:1" ht="15.75" x14ac:dyDescent="0.25">
      <c r="A427" s="41"/>
    </row>
    <row r="428" spans="1:1" ht="15.75" x14ac:dyDescent="0.25">
      <c r="A428" s="41"/>
    </row>
    <row r="429" spans="1:1" ht="15.75" x14ac:dyDescent="0.25">
      <c r="A429" s="41"/>
    </row>
    <row r="430" spans="1:1" ht="15.75" x14ac:dyDescent="0.25">
      <c r="A430" s="41"/>
    </row>
    <row r="431" spans="1:1" ht="15.75" x14ac:dyDescent="0.25">
      <c r="A431" s="41"/>
    </row>
    <row r="432" spans="1:1" ht="15.75" x14ac:dyDescent="0.25">
      <c r="A432" s="41"/>
    </row>
    <row r="433" spans="1:1" ht="15.75" x14ac:dyDescent="0.25">
      <c r="A433" s="41"/>
    </row>
    <row r="434" spans="1:1" ht="15.75" x14ac:dyDescent="0.25">
      <c r="A434" s="41"/>
    </row>
    <row r="435" spans="1:1" ht="15.75" x14ac:dyDescent="0.25">
      <c r="A435" s="41"/>
    </row>
    <row r="436" spans="1:1" ht="15.75" x14ac:dyDescent="0.25">
      <c r="A436" s="41"/>
    </row>
    <row r="437" spans="1:1" ht="15.75" x14ac:dyDescent="0.25">
      <c r="A437" s="41"/>
    </row>
    <row r="438" spans="1:1" ht="15.75" x14ac:dyDescent="0.25">
      <c r="A438" s="41"/>
    </row>
    <row r="439" spans="1:1" ht="15.75" x14ac:dyDescent="0.25">
      <c r="A439" s="41"/>
    </row>
    <row r="440" spans="1:1" ht="15.75" x14ac:dyDescent="0.25">
      <c r="A440" s="41"/>
    </row>
    <row r="441" spans="1:1" ht="15.75" x14ac:dyDescent="0.25">
      <c r="A441" s="41"/>
    </row>
    <row r="442" spans="1:1" ht="15.75" x14ac:dyDescent="0.25">
      <c r="A442" s="41"/>
    </row>
    <row r="443" spans="1:1" ht="15.75" x14ac:dyDescent="0.25">
      <c r="A443" s="41"/>
    </row>
    <row r="444" spans="1:1" ht="15.75" x14ac:dyDescent="0.25">
      <c r="A444" s="41"/>
    </row>
    <row r="445" spans="1:1" ht="15.75" x14ac:dyDescent="0.25">
      <c r="A445" s="41"/>
    </row>
    <row r="446" spans="1:1" ht="15.75" x14ac:dyDescent="0.25">
      <c r="A446" s="41"/>
    </row>
    <row r="447" spans="1:1" ht="15.75" x14ac:dyDescent="0.25">
      <c r="A447" s="41"/>
    </row>
    <row r="448" spans="1:1" ht="15.75" x14ac:dyDescent="0.25">
      <c r="A448" s="41"/>
    </row>
    <row r="449" spans="1:1" ht="15.75" x14ac:dyDescent="0.25">
      <c r="A449" s="41"/>
    </row>
    <row r="450" spans="1:1" ht="15.75" x14ac:dyDescent="0.25">
      <c r="A450" s="41"/>
    </row>
    <row r="451" spans="1:1" ht="15.75" x14ac:dyDescent="0.25">
      <c r="A451" s="41"/>
    </row>
    <row r="452" spans="1:1" ht="15.75" x14ac:dyDescent="0.25">
      <c r="A452" s="41"/>
    </row>
    <row r="453" spans="1:1" ht="15.75" x14ac:dyDescent="0.25">
      <c r="A453" s="41"/>
    </row>
    <row r="454" spans="1:1" ht="15.75" x14ac:dyDescent="0.25">
      <c r="A454" s="41"/>
    </row>
    <row r="455" spans="1:1" ht="15.75" x14ac:dyDescent="0.25">
      <c r="A455" s="41"/>
    </row>
    <row r="456" spans="1:1" ht="15.75" x14ac:dyDescent="0.25">
      <c r="A456" s="41"/>
    </row>
    <row r="457" spans="1:1" ht="15.75" x14ac:dyDescent="0.25">
      <c r="A457" s="41"/>
    </row>
    <row r="458" spans="1:1" ht="15.75" x14ac:dyDescent="0.25">
      <c r="A458" s="41"/>
    </row>
    <row r="459" spans="1:1" ht="15.75" x14ac:dyDescent="0.25">
      <c r="A459" s="41"/>
    </row>
    <row r="460" spans="1:1" ht="15.75" x14ac:dyDescent="0.25">
      <c r="A460" s="41"/>
    </row>
    <row r="461" spans="1:1" ht="15.75" x14ac:dyDescent="0.25">
      <c r="A461" s="41"/>
    </row>
    <row r="462" spans="1:1" ht="15.75" x14ac:dyDescent="0.25">
      <c r="A462" s="41"/>
    </row>
    <row r="463" spans="1:1" ht="15.75" x14ac:dyDescent="0.25">
      <c r="A463" s="41"/>
    </row>
    <row r="464" spans="1:1" ht="15.75" x14ac:dyDescent="0.25">
      <c r="A464" s="41"/>
    </row>
    <row r="465" spans="1:1" ht="15.75" x14ac:dyDescent="0.25">
      <c r="A465" s="41"/>
    </row>
    <row r="466" spans="1:1" ht="15.75" x14ac:dyDescent="0.25">
      <c r="A466" s="41"/>
    </row>
    <row r="467" spans="1:1" ht="15.75" x14ac:dyDescent="0.25">
      <c r="A467" s="41"/>
    </row>
    <row r="468" spans="1:1" ht="15.75" x14ac:dyDescent="0.25">
      <c r="A468" s="41"/>
    </row>
    <row r="469" spans="1:1" ht="15.75" x14ac:dyDescent="0.25">
      <c r="A469" s="41"/>
    </row>
    <row r="470" spans="1:1" ht="15.75" x14ac:dyDescent="0.25">
      <c r="A470" s="41"/>
    </row>
    <row r="471" spans="1:1" ht="15.75" x14ac:dyDescent="0.25">
      <c r="A471" s="41"/>
    </row>
    <row r="472" spans="1:1" ht="15.75" x14ac:dyDescent="0.25">
      <c r="A472" s="41"/>
    </row>
    <row r="473" spans="1:1" ht="15.75" x14ac:dyDescent="0.25">
      <c r="A473" s="41"/>
    </row>
    <row r="474" spans="1:1" ht="15.75" x14ac:dyDescent="0.25">
      <c r="A474" s="41"/>
    </row>
    <row r="475" spans="1:1" ht="15.75" x14ac:dyDescent="0.25">
      <c r="A475" s="41"/>
    </row>
    <row r="476" spans="1:1" ht="15.75" x14ac:dyDescent="0.25">
      <c r="A476" s="41"/>
    </row>
    <row r="477" spans="1:1" ht="15.75" x14ac:dyDescent="0.25">
      <c r="A477" s="41"/>
    </row>
    <row r="478" spans="1:1" ht="15.75" x14ac:dyDescent="0.25">
      <c r="A478" s="41"/>
    </row>
    <row r="479" spans="1:1" ht="15.75" x14ac:dyDescent="0.25">
      <c r="A479" s="41"/>
    </row>
    <row r="480" spans="1:1" ht="15.75" x14ac:dyDescent="0.25">
      <c r="A480" s="41"/>
    </row>
    <row r="481" spans="1:1" ht="15.75" x14ac:dyDescent="0.25">
      <c r="A481" s="41"/>
    </row>
    <row r="482" spans="1:1" ht="15.75" x14ac:dyDescent="0.25">
      <c r="A482" s="41"/>
    </row>
    <row r="483" spans="1:1" ht="15.75" x14ac:dyDescent="0.25">
      <c r="A483" s="41"/>
    </row>
    <row r="484" spans="1:1" ht="15.75" x14ac:dyDescent="0.25">
      <c r="A484" s="41"/>
    </row>
    <row r="485" spans="1:1" ht="15.75" x14ac:dyDescent="0.25">
      <c r="A485" s="41"/>
    </row>
    <row r="486" spans="1:1" ht="15.75" x14ac:dyDescent="0.25">
      <c r="A486" s="41"/>
    </row>
    <row r="487" spans="1:1" ht="15.75" x14ac:dyDescent="0.25">
      <c r="A487" s="41"/>
    </row>
    <row r="488" spans="1:1" ht="15.75" x14ac:dyDescent="0.25">
      <c r="A488" s="41"/>
    </row>
    <row r="489" spans="1:1" ht="15.75" x14ac:dyDescent="0.25">
      <c r="A489" s="41"/>
    </row>
    <row r="490" spans="1:1" ht="15.75" x14ac:dyDescent="0.25">
      <c r="A490" s="41"/>
    </row>
    <row r="491" spans="1:1" ht="15.75" x14ac:dyDescent="0.25">
      <c r="A491" s="41"/>
    </row>
    <row r="492" spans="1:1" ht="15.75" x14ac:dyDescent="0.25">
      <c r="A492" s="41"/>
    </row>
    <row r="493" spans="1:1" ht="15.75" x14ac:dyDescent="0.25">
      <c r="A493" s="41"/>
    </row>
    <row r="494" spans="1:1" ht="15.75" x14ac:dyDescent="0.25">
      <c r="A494" s="41"/>
    </row>
    <row r="495" spans="1:1" ht="15.75" x14ac:dyDescent="0.25">
      <c r="A495" s="41"/>
    </row>
    <row r="496" spans="1:1" ht="15.75" x14ac:dyDescent="0.25">
      <c r="A496" s="41"/>
    </row>
    <row r="497" spans="1:1" ht="15.75" x14ac:dyDescent="0.25">
      <c r="A497" s="41"/>
    </row>
    <row r="498" spans="1:1" ht="15.75" x14ac:dyDescent="0.25">
      <c r="A498" s="41"/>
    </row>
    <row r="499" spans="1:1" ht="15.75" x14ac:dyDescent="0.25">
      <c r="A499" s="41"/>
    </row>
    <row r="500" spans="1:1" ht="15.75" x14ac:dyDescent="0.25">
      <c r="A500" s="41"/>
    </row>
    <row r="501" spans="1:1" ht="15.75" x14ac:dyDescent="0.25">
      <c r="A501" s="41"/>
    </row>
    <row r="502" spans="1:1" ht="15.75" x14ac:dyDescent="0.25">
      <c r="A502" s="41"/>
    </row>
    <row r="503" spans="1:1" ht="15.75" x14ac:dyDescent="0.25">
      <c r="A503" s="41"/>
    </row>
    <row r="504" spans="1:1" ht="15.75" x14ac:dyDescent="0.25">
      <c r="A504" s="41"/>
    </row>
    <row r="505" spans="1:1" ht="15.75" x14ac:dyDescent="0.25">
      <c r="A505" s="41"/>
    </row>
    <row r="506" spans="1:1" ht="15.75" x14ac:dyDescent="0.25">
      <c r="A506" s="41"/>
    </row>
    <row r="507" spans="1:1" ht="15.75" x14ac:dyDescent="0.25">
      <c r="A507" s="41"/>
    </row>
    <row r="508" spans="1:1" ht="15.75" x14ac:dyDescent="0.25">
      <c r="A508" s="41"/>
    </row>
    <row r="509" spans="1:1" ht="15.75" x14ac:dyDescent="0.25">
      <c r="A509" s="41"/>
    </row>
    <row r="510" spans="1:1" ht="15.75" x14ac:dyDescent="0.25">
      <c r="A510" s="41"/>
    </row>
    <row r="511" spans="1:1" ht="15.75" x14ac:dyDescent="0.25">
      <c r="A511" s="41"/>
    </row>
    <row r="512" spans="1:1" ht="15.75" x14ac:dyDescent="0.25">
      <c r="A512" s="41"/>
    </row>
    <row r="513" spans="1:1" ht="15.75" x14ac:dyDescent="0.25">
      <c r="A513" s="41"/>
    </row>
    <row r="514" spans="1:1" ht="15.75" x14ac:dyDescent="0.25">
      <c r="A514" s="41"/>
    </row>
    <row r="515" spans="1:1" ht="15.75" x14ac:dyDescent="0.25">
      <c r="A515" s="41"/>
    </row>
    <row r="516" spans="1:1" ht="15.75" x14ac:dyDescent="0.25">
      <c r="A516" s="41"/>
    </row>
    <row r="517" spans="1:1" ht="15.75" x14ac:dyDescent="0.25">
      <c r="A517" s="41"/>
    </row>
    <row r="518" spans="1:1" ht="15.75" x14ac:dyDescent="0.25">
      <c r="A518" s="41"/>
    </row>
    <row r="519" spans="1:1" ht="15.75" x14ac:dyDescent="0.25">
      <c r="A519" s="41"/>
    </row>
    <row r="520" spans="1:1" ht="15.75" x14ac:dyDescent="0.25">
      <c r="A520" s="41"/>
    </row>
    <row r="521" spans="1:1" ht="15.75" x14ac:dyDescent="0.25">
      <c r="A521" s="41"/>
    </row>
    <row r="522" spans="1:1" ht="15.75" x14ac:dyDescent="0.25">
      <c r="A522" s="41"/>
    </row>
    <row r="523" spans="1:1" ht="15.75" x14ac:dyDescent="0.25">
      <c r="A523" s="41"/>
    </row>
    <row r="524" spans="1:1" ht="15.75" x14ac:dyDescent="0.25">
      <c r="A524" s="41"/>
    </row>
    <row r="525" spans="1:1" ht="15.75" x14ac:dyDescent="0.25">
      <c r="A525" s="41"/>
    </row>
    <row r="526" spans="1:1" ht="15.75" x14ac:dyDescent="0.25">
      <c r="A526" s="41"/>
    </row>
    <row r="527" spans="1:1" ht="15.75" x14ac:dyDescent="0.25">
      <c r="A527" s="41"/>
    </row>
    <row r="528" spans="1:1" ht="15.75" x14ac:dyDescent="0.25">
      <c r="A528" s="41"/>
    </row>
    <row r="529" spans="1:1" ht="15.75" x14ac:dyDescent="0.25">
      <c r="A529" s="41"/>
    </row>
    <row r="530" spans="1:1" ht="15.75" x14ac:dyDescent="0.25">
      <c r="A530" s="41"/>
    </row>
    <row r="531" spans="1:1" ht="15.75" x14ac:dyDescent="0.25">
      <c r="A531" s="41"/>
    </row>
    <row r="532" spans="1:1" ht="15.75" x14ac:dyDescent="0.25">
      <c r="A532" s="41"/>
    </row>
    <row r="533" spans="1:1" ht="15.75" x14ac:dyDescent="0.25">
      <c r="A533" s="41"/>
    </row>
    <row r="534" spans="1:1" ht="15.75" x14ac:dyDescent="0.25">
      <c r="A534" s="41"/>
    </row>
    <row r="535" spans="1:1" ht="15.75" x14ac:dyDescent="0.25">
      <c r="A535" s="41"/>
    </row>
    <row r="536" spans="1:1" ht="15.75" x14ac:dyDescent="0.25">
      <c r="A536" s="41"/>
    </row>
    <row r="537" spans="1:1" ht="15.75" x14ac:dyDescent="0.25">
      <c r="A537" s="41"/>
    </row>
    <row r="538" spans="1:1" ht="15.75" x14ac:dyDescent="0.25">
      <c r="A538" s="41"/>
    </row>
    <row r="539" spans="1:1" ht="15.75" x14ac:dyDescent="0.25">
      <c r="A539" s="41"/>
    </row>
    <row r="540" spans="1:1" ht="15.75" x14ac:dyDescent="0.25">
      <c r="A540" s="41"/>
    </row>
    <row r="541" spans="1:1" ht="15.75" x14ac:dyDescent="0.25">
      <c r="A541" s="41"/>
    </row>
    <row r="542" spans="1:1" ht="15.75" x14ac:dyDescent="0.25">
      <c r="A542" s="41"/>
    </row>
    <row r="543" spans="1:1" ht="15.75" x14ac:dyDescent="0.25">
      <c r="A543" s="41"/>
    </row>
    <row r="544" spans="1:1" ht="15.75" x14ac:dyDescent="0.25">
      <c r="A544" s="41"/>
    </row>
    <row r="545" spans="1:1" ht="15.75" x14ac:dyDescent="0.25">
      <c r="A545" s="41"/>
    </row>
    <row r="546" spans="1:1" ht="15.75" x14ac:dyDescent="0.25">
      <c r="A546" s="41"/>
    </row>
    <row r="547" spans="1:1" ht="15.75" x14ac:dyDescent="0.25">
      <c r="A547" s="41"/>
    </row>
    <row r="548" spans="1:1" ht="15.75" x14ac:dyDescent="0.25">
      <c r="A548" s="41"/>
    </row>
    <row r="549" spans="1:1" ht="15.75" x14ac:dyDescent="0.25">
      <c r="A549" s="41"/>
    </row>
    <row r="550" spans="1:1" ht="15.75" x14ac:dyDescent="0.25">
      <c r="A550" s="41"/>
    </row>
    <row r="551" spans="1:1" ht="15.75" x14ac:dyDescent="0.25">
      <c r="A551" s="41"/>
    </row>
    <row r="552" spans="1:1" ht="15.75" x14ac:dyDescent="0.25">
      <c r="A552" s="41"/>
    </row>
    <row r="553" spans="1:1" ht="15.75" x14ac:dyDescent="0.25">
      <c r="A553" s="41"/>
    </row>
    <row r="554" spans="1:1" ht="15.75" x14ac:dyDescent="0.25">
      <c r="A554" s="41"/>
    </row>
    <row r="555" spans="1:1" ht="15.75" x14ac:dyDescent="0.25">
      <c r="A555" s="41"/>
    </row>
    <row r="556" spans="1:1" ht="15.75" x14ac:dyDescent="0.25">
      <c r="A556" s="41"/>
    </row>
    <row r="557" spans="1:1" ht="15.75" x14ac:dyDescent="0.25">
      <c r="A557" s="41"/>
    </row>
    <row r="558" spans="1:1" ht="15.75" x14ac:dyDescent="0.25">
      <c r="A558" s="41"/>
    </row>
    <row r="559" spans="1:1" ht="15.75" x14ac:dyDescent="0.25">
      <c r="A559" s="41"/>
    </row>
    <row r="560" spans="1:1" ht="15.75" x14ac:dyDescent="0.25">
      <c r="A560" s="41"/>
    </row>
    <row r="561" spans="1:1" ht="15.75" x14ac:dyDescent="0.25">
      <c r="A561" s="41"/>
    </row>
    <row r="562" spans="1:1" ht="15.75" x14ac:dyDescent="0.25">
      <c r="A562" s="41"/>
    </row>
    <row r="563" spans="1:1" ht="15.75" x14ac:dyDescent="0.25">
      <c r="A563" s="41"/>
    </row>
    <row r="564" spans="1:1" ht="15.75" x14ac:dyDescent="0.25">
      <c r="A564" s="41"/>
    </row>
    <row r="565" spans="1:1" ht="15.75" x14ac:dyDescent="0.25">
      <c r="A565" s="41"/>
    </row>
    <row r="566" spans="1:1" ht="15.75" x14ac:dyDescent="0.25">
      <c r="A566" s="41"/>
    </row>
    <row r="567" spans="1:1" ht="15.75" x14ac:dyDescent="0.25">
      <c r="A567" s="41"/>
    </row>
    <row r="568" spans="1:1" ht="15.75" x14ac:dyDescent="0.25">
      <c r="A568" s="41"/>
    </row>
    <row r="569" spans="1:1" ht="15.75" x14ac:dyDescent="0.25">
      <c r="A569" s="41"/>
    </row>
    <row r="570" spans="1:1" ht="15.75" x14ac:dyDescent="0.25">
      <c r="A570" s="41"/>
    </row>
    <row r="571" spans="1:1" ht="15.75" x14ac:dyDescent="0.25">
      <c r="A571" s="41"/>
    </row>
    <row r="572" spans="1:1" ht="15.75" x14ac:dyDescent="0.25">
      <c r="A572" s="41"/>
    </row>
    <row r="573" spans="1:1" ht="15.75" x14ac:dyDescent="0.25">
      <c r="A573" s="41"/>
    </row>
    <row r="574" spans="1:1" ht="15.75" x14ac:dyDescent="0.25">
      <c r="A574" s="41"/>
    </row>
    <row r="575" spans="1:1" ht="15.75" x14ac:dyDescent="0.25">
      <c r="A575" s="41"/>
    </row>
    <row r="576" spans="1:1" ht="15.75" x14ac:dyDescent="0.25">
      <c r="A576" s="41"/>
    </row>
    <row r="577" spans="1:1" ht="15.75" x14ac:dyDescent="0.25">
      <c r="A577" s="41"/>
    </row>
    <row r="578" spans="1:1" ht="15.75" x14ac:dyDescent="0.25">
      <c r="A578" s="41"/>
    </row>
    <row r="579" spans="1:1" ht="15.75" x14ac:dyDescent="0.25">
      <c r="A579" s="41"/>
    </row>
    <row r="580" spans="1:1" ht="15.75" x14ac:dyDescent="0.25">
      <c r="A580" s="41"/>
    </row>
    <row r="581" spans="1:1" ht="15.75" x14ac:dyDescent="0.25">
      <c r="A581" s="41"/>
    </row>
    <row r="582" spans="1:1" ht="15.75" x14ac:dyDescent="0.25">
      <c r="A582" s="41"/>
    </row>
    <row r="583" spans="1:1" ht="15.75" x14ac:dyDescent="0.25">
      <c r="A583" s="41"/>
    </row>
    <row r="584" spans="1:1" ht="15.75" x14ac:dyDescent="0.25">
      <c r="A584" s="41"/>
    </row>
    <row r="585" spans="1:1" ht="15.75" x14ac:dyDescent="0.25">
      <c r="A585" s="41"/>
    </row>
    <row r="586" spans="1:1" ht="15.75" x14ac:dyDescent="0.25">
      <c r="A586" s="41"/>
    </row>
    <row r="587" spans="1:1" ht="15.75" x14ac:dyDescent="0.25">
      <c r="A587" s="41"/>
    </row>
    <row r="588" spans="1:1" ht="15.75" x14ac:dyDescent="0.25">
      <c r="A588" s="41"/>
    </row>
    <row r="589" spans="1:1" ht="15.75" x14ac:dyDescent="0.25">
      <c r="A589" s="41"/>
    </row>
    <row r="590" spans="1:1" ht="15.75" x14ac:dyDescent="0.25">
      <c r="A590" s="41"/>
    </row>
    <row r="591" spans="1:1" ht="15.75" x14ac:dyDescent="0.25">
      <c r="A591" s="41"/>
    </row>
    <row r="592" spans="1:1" ht="15.75" x14ac:dyDescent="0.25">
      <c r="A592" s="41"/>
    </row>
    <row r="593" spans="1:1" ht="15.75" x14ac:dyDescent="0.25">
      <c r="A593" s="41"/>
    </row>
    <row r="594" spans="1:1" ht="15.75" x14ac:dyDescent="0.25">
      <c r="A594" s="41"/>
    </row>
    <row r="595" spans="1:1" ht="15.75" x14ac:dyDescent="0.25">
      <c r="A595" s="41"/>
    </row>
    <row r="596" spans="1:1" ht="15.75" x14ac:dyDescent="0.25">
      <c r="A596" s="41"/>
    </row>
    <row r="597" spans="1:1" ht="15.75" x14ac:dyDescent="0.25">
      <c r="A597" s="41"/>
    </row>
    <row r="598" spans="1:1" ht="15.75" x14ac:dyDescent="0.25">
      <c r="A598" s="41"/>
    </row>
    <row r="599" spans="1:1" ht="15.75" x14ac:dyDescent="0.25">
      <c r="A599" s="41"/>
    </row>
    <row r="600" spans="1:1" ht="15.75" x14ac:dyDescent="0.25">
      <c r="A600" s="41"/>
    </row>
    <row r="601" spans="1:1" ht="15.75" x14ac:dyDescent="0.25">
      <c r="A601" s="41"/>
    </row>
    <row r="602" spans="1:1" ht="15.75" x14ac:dyDescent="0.25">
      <c r="A602" s="41"/>
    </row>
    <row r="603" spans="1:1" ht="15.75" x14ac:dyDescent="0.25">
      <c r="A603" s="41"/>
    </row>
    <row r="604" spans="1:1" ht="15.75" x14ac:dyDescent="0.25">
      <c r="A604" s="41"/>
    </row>
    <row r="605" spans="1:1" ht="15.75" x14ac:dyDescent="0.25">
      <c r="A605" s="41"/>
    </row>
    <row r="606" spans="1:1" ht="15.75" x14ac:dyDescent="0.25">
      <c r="A606" s="41"/>
    </row>
    <row r="607" spans="1:1" ht="15.75" x14ac:dyDescent="0.25">
      <c r="A607" s="41"/>
    </row>
    <row r="608" spans="1:1" ht="15.75" x14ac:dyDescent="0.25">
      <c r="A608" s="41"/>
    </row>
    <row r="609" spans="1:1" ht="15.75" x14ac:dyDescent="0.25">
      <c r="A609" s="41"/>
    </row>
    <row r="610" spans="1:1" ht="15.75" x14ac:dyDescent="0.25">
      <c r="A610" s="41"/>
    </row>
    <row r="611" spans="1:1" ht="15.75" x14ac:dyDescent="0.25">
      <c r="A611" s="41"/>
    </row>
    <row r="612" spans="1:1" ht="15.75" x14ac:dyDescent="0.25">
      <c r="A612" s="41"/>
    </row>
    <row r="613" spans="1:1" ht="15.75" x14ac:dyDescent="0.25">
      <c r="A613" s="41"/>
    </row>
    <row r="614" spans="1:1" ht="15.75" x14ac:dyDescent="0.25">
      <c r="A614" s="41"/>
    </row>
    <row r="615" spans="1:1" ht="15.75" x14ac:dyDescent="0.25">
      <c r="A615" s="41"/>
    </row>
    <row r="616" spans="1:1" ht="15.75" x14ac:dyDescent="0.25">
      <c r="A616" s="41"/>
    </row>
    <row r="617" spans="1:1" ht="15.75" x14ac:dyDescent="0.25">
      <c r="A617" s="41"/>
    </row>
    <row r="618" spans="1:1" ht="15.75" x14ac:dyDescent="0.25">
      <c r="A618" s="41"/>
    </row>
    <row r="619" spans="1:1" ht="15.75" x14ac:dyDescent="0.25">
      <c r="A619" s="41"/>
    </row>
    <row r="620" spans="1:1" ht="15.75" x14ac:dyDescent="0.25">
      <c r="A620" s="41"/>
    </row>
    <row r="621" spans="1:1" ht="15.75" x14ac:dyDescent="0.25">
      <c r="A621" s="41"/>
    </row>
    <row r="622" spans="1:1" ht="15.75" x14ac:dyDescent="0.25">
      <c r="A622" s="41"/>
    </row>
    <row r="623" spans="1:1" ht="15.75" x14ac:dyDescent="0.25">
      <c r="A623" s="41"/>
    </row>
    <row r="624" spans="1:1" ht="15.75" x14ac:dyDescent="0.25">
      <c r="A624" s="41"/>
    </row>
    <row r="625" spans="1:1" ht="15.75" x14ac:dyDescent="0.25">
      <c r="A625" s="41"/>
    </row>
    <row r="626" spans="1:1" ht="15.75" x14ac:dyDescent="0.25">
      <c r="A626" s="41"/>
    </row>
    <row r="627" spans="1:1" ht="15.75" x14ac:dyDescent="0.25">
      <c r="A627" s="41"/>
    </row>
    <row r="628" spans="1:1" ht="15.75" x14ac:dyDescent="0.25">
      <c r="A628" s="41"/>
    </row>
    <row r="629" spans="1:1" ht="15.75" x14ac:dyDescent="0.25">
      <c r="A629" s="41"/>
    </row>
    <row r="630" spans="1:1" ht="15.75" x14ac:dyDescent="0.25">
      <c r="A630" s="41"/>
    </row>
    <row r="631" spans="1:1" ht="15.75" x14ac:dyDescent="0.25">
      <c r="A631" s="41"/>
    </row>
    <row r="632" spans="1:1" ht="15.75" x14ac:dyDescent="0.25">
      <c r="A632" s="41"/>
    </row>
    <row r="633" spans="1:1" ht="15.75" x14ac:dyDescent="0.25">
      <c r="A633" s="41"/>
    </row>
    <row r="634" spans="1:1" ht="15.75" x14ac:dyDescent="0.25">
      <c r="A634" s="41"/>
    </row>
    <row r="635" spans="1:1" ht="15.75" x14ac:dyDescent="0.25">
      <c r="A635" s="41"/>
    </row>
    <row r="636" spans="1:1" ht="15.75" x14ac:dyDescent="0.25">
      <c r="A636" s="41"/>
    </row>
    <row r="637" spans="1:1" ht="15.75" x14ac:dyDescent="0.25">
      <c r="A637" s="41"/>
    </row>
    <row r="638" spans="1:1" ht="15.75" x14ac:dyDescent="0.25">
      <c r="A638" s="41"/>
    </row>
    <row r="639" spans="1:1" ht="15.75" x14ac:dyDescent="0.25">
      <c r="A639" s="41"/>
    </row>
    <row r="640" spans="1:1" ht="15.75" x14ac:dyDescent="0.25">
      <c r="A640" s="41"/>
    </row>
    <row r="641" spans="1:1" ht="15.75" x14ac:dyDescent="0.25">
      <c r="A641" s="41"/>
    </row>
    <row r="642" spans="1:1" ht="15.75" x14ac:dyDescent="0.25">
      <c r="A642" s="41"/>
    </row>
    <row r="643" spans="1:1" ht="15.75" x14ac:dyDescent="0.25">
      <c r="A643" s="41"/>
    </row>
    <row r="644" spans="1:1" ht="15.75" x14ac:dyDescent="0.25">
      <c r="A644" s="41"/>
    </row>
    <row r="645" spans="1:1" ht="15.75" x14ac:dyDescent="0.25">
      <c r="A645" s="41"/>
    </row>
    <row r="646" spans="1:1" ht="15.75" x14ac:dyDescent="0.25">
      <c r="A646" s="41"/>
    </row>
    <row r="647" spans="1:1" ht="15.75" x14ac:dyDescent="0.25">
      <c r="A647" s="41"/>
    </row>
    <row r="648" spans="1:1" ht="15.75" x14ac:dyDescent="0.25">
      <c r="A648" s="41"/>
    </row>
    <row r="649" spans="1:1" ht="15.75" x14ac:dyDescent="0.25">
      <c r="A649" s="41"/>
    </row>
    <row r="650" spans="1:1" ht="15.75" x14ac:dyDescent="0.25">
      <c r="A650" s="41"/>
    </row>
    <row r="651" spans="1:1" ht="15.75" x14ac:dyDescent="0.25">
      <c r="A651" s="41"/>
    </row>
    <row r="652" spans="1:1" ht="15.75" x14ac:dyDescent="0.25">
      <c r="A652" s="41"/>
    </row>
    <row r="653" spans="1:1" ht="15.75" x14ac:dyDescent="0.25">
      <c r="A653" s="41"/>
    </row>
    <row r="654" spans="1:1" ht="15.75" x14ac:dyDescent="0.25">
      <c r="A654" s="41"/>
    </row>
    <row r="655" spans="1:1" ht="15.75" x14ac:dyDescent="0.25">
      <c r="A655" s="41"/>
    </row>
    <row r="656" spans="1:1" ht="15.75" x14ac:dyDescent="0.25">
      <c r="A656" s="41"/>
    </row>
    <row r="657" spans="1:1" ht="15.75" x14ac:dyDescent="0.25">
      <c r="A657" s="41"/>
    </row>
    <row r="658" spans="1:1" ht="15.75" x14ac:dyDescent="0.25">
      <c r="A658" s="41"/>
    </row>
    <row r="659" spans="1:1" ht="15.75" x14ac:dyDescent="0.25">
      <c r="A659" s="41"/>
    </row>
    <row r="660" spans="1:1" ht="15.75" x14ac:dyDescent="0.25">
      <c r="A660" s="41"/>
    </row>
    <row r="661" spans="1:1" ht="15.75" x14ac:dyDescent="0.25">
      <c r="A661" s="41"/>
    </row>
    <row r="662" spans="1:1" ht="15.75" x14ac:dyDescent="0.25">
      <c r="A662" s="41"/>
    </row>
    <row r="663" spans="1:1" ht="15.75" x14ac:dyDescent="0.25">
      <c r="A663" s="41"/>
    </row>
    <row r="664" spans="1:1" ht="15.75" x14ac:dyDescent="0.25">
      <c r="A664" s="41"/>
    </row>
    <row r="665" spans="1:1" ht="15.75" x14ac:dyDescent="0.25">
      <c r="A665" s="41"/>
    </row>
    <row r="666" spans="1:1" ht="15.75" x14ac:dyDescent="0.25">
      <c r="A666" s="41"/>
    </row>
    <row r="667" spans="1:1" ht="15.75" x14ac:dyDescent="0.25">
      <c r="A667" s="41"/>
    </row>
    <row r="668" spans="1:1" ht="15.75" x14ac:dyDescent="0.25">
      <c r="A668" s="41"/>
    </row>
    <row r="669" spans="1:1" ht="15.75" x14ac:dyDescent="0.25">
      <c r="A669" s="41"/>
    </row>
    <row r="670" spans="1:1" ht="15.75" x14ac:dyDescent="0.25">
      <c r="A670" s="41"/>
    </row>
    <row r="671" spans="1:1" ht="15.75" x14ac:dyDescent="0.25">
      <c r="A671" s="41"/>
    </row>
    <row r="672" spans="1:1" ht="15.75" x14ac:dyDescent="0.25">
      <c r="A672" s="41"/>
    </row>
    <row r="673" spans="1:1" ht="15.75" x14ac:dyDescent="0.25">
      <c r="A673" s="41"/>
    </row>
    <row r="674" spans="1:1" ht="15.75" x14ac:dyDescent="0.25">
      <c r="A674" s="41"/>
    </row>
    <row r="675" spans="1:1" ht="15.75" x14ac:dyDescent="0.25">
      <c r="A675" s="41"/>
    </row>
    <row r="676" spans="1:1" ht="15.75" x14ac:dyDescent="0.25">
      <c r="A676" s="41"/>
    </row>
    <row r="677" spans="1:1" ht="15.75" x14ac:dyDescent="0.25">
      <c r="A677" s="41"/>
    </row>
    <row r="678" spans="1:1" ht="15.75" x14ac:dyDescent="0.25">
      <c r="A678" s="41"/>
    </row>
    <row r="679" spans="1:1" ht="15.75" x14ac:dyDescent="0.25">
      <c r="A679" s="41"/>
    </row>
    <row r="680" spans="1:1" ht="15.75" x14ac:dyDescent="0.25">
      <c r="A680" s="41"/>
    </row>
    <row r="681" spans="1:1" ht="15.75" x14ac:dyDescent="0.25">
      <c r="A681" s="41"/>
    </row>
    <row r="682" spans="1:1" ht="15.75" x14ac:dyDescent="0.25">
      <c r="A682" s="41"/>
    </row>
    <row r="683" spans="1:1" ht="15.75" x14ac:dyDescent="0.25">
      <c r="A683" s="41"/>
    </row>
    <row r="684" spans="1:1" ht="15.75" x14ac:dyDescent="0.25">
      <c r="A684" s="41"/>
    </row>
    <row r="685" spans="1:1" ht="15.75" x14ac:dyDescent="0.25">
      <c r="A685" s="41"/>
    </row>
    <row r="686" spans="1:1" ht="15.75" x14ac:dyDescent="0.25">
      <c r="A686" s="41"/>
    </row>
    <row r="687" spans="1:1" ht="15.75" x14ac:dyDescent="0.25">
      <c r="A687" s="41"/>
    </row>
    <row r="688" spans="1:1" ht="15.75" x14ac:dyDescent="0.25">
      <c r="A688" s="41"/>
    </row>
    <row r="689" spans="1:1" ht="15.75" x14ac:dyDescent="0.25">
      <c r="A689" s="41"/>
    </row>
    <row r="690" spans="1:1" ht="15.75" x14ac:dyDescent="0.25">
      <c r="A690" s="41"/>
    </row>
    <row r="691" spans="1:1" ht="15.75" x14ac:dyDescent="0.25">
      <c r="A691" s="41"/>
    </row>
    <row r="692" spans="1:1" ht="15.75" x14ac:dyDescent="0.25">
      <c r="A692" s="41"/>
    </row>
    <row r="693" spans="1:1" ht="15.75" x14ac:dyDescent="0.25">
      <c r="A693" s="41"/>
    </row>
    <row r="694" spans="1:1" ht="15.75" x14ac:dyDescent="0.25">
      <c r="A694" s="41"/>
    </row>
    <row r="695" spans="1:1" ht="15.75" x14ac:dyDescent="0.25">
      <c r="A695" s="41"/>
    </row>
    <row r="696" spans="1:1" ht="15.75" x14ac:dyDescent="0.25">
      <c r="A696" s="41"/>
    </row>
    <row r="697" spans="1:1" ht="15.75" x14ac:dyDescent="0.25">
      <c r="A697" s="41"/>
    </row>
    <row r="698" spans="1:1" ht="15.75" x14ac:dyDescent="0.25">
      <c r="A698" s="41"/>
    </row>
    <row r="699" spans="1:1" ht="15.75" x14ac:dyDescent="0.25">
      <c r="A699" s="41"/>
    </row>
    <row r="700" spans="1:1" ht="15.75" x14ac:dyDescent="0.25">
      <c r="A700" s="41"/>
    </row>
    <row r="701" spans="1:1" ht="15.75" x14ac:dyDescent="0.25">
      <c r="A701" s="41"/>
    </row>
    <row r="702" spans="1:1" ht="15.75" x14ac:dyDescent="0.25">
      <c r="A702" s="41"/>
    </row>
    <row r="703" spans="1:1" ht="15.75" x14ac:dyDescent="0.25">
      <c r="A703" s="41"/>
    </row>
    <row r="704" spans="1:1" ht="15.75" x14ac:dyDescent="0.25">
      <c r="A704" s="41"/>
    </row>
    <row r="705" spans="1:1" ht="15.75" x14ac:dyDescent="0.25">
      <c r="A705" s="41"/>
    </row>
    <row r="706" spans="1:1" ht="15.75" x14ac:dyDescent="0.25">
      <c r="A706" s="41"/>
    </row>
    <row r="707" spans="1:1" ht="15.75" x14ac:dyDescent="0.25">
      <c r="A707" s="41"/>
    </row>
    <row r="708" spans="1:1" ht="15.75" x14ac:dyDescent="0.25">
      <c r="A708" s="41"/>
    </row>
    <row r="709" spans="1:1" ht="15.75" x14ac:dyDescent="0.25">
      <c r="A709" s="41"/>
    </row>
    <row r="710" spans="1:1" ht="15.75" x14ac:dyDescent="0.25">
      <c r="A710" s="41"/>
    </row>
    <row r="711" spans="1:1" ht="15.75" x14ac:dyDescent="0.25">
      <c r="A711" s="41"/>
    </row>
    <row r="712" spans="1:1" ht="15.75" x14ac:dyDescent="0.25">
      <c r="A712" s="41"/>
    </row>
    <row r="713" spans="1:1" ht="15.75" x14ac:dyDescent="0.25">
      <c r="A713" s="41"/>
    </row>
    <row r="714" spans="1:1" ht="15.75" x14ac:dyDescent="0.25">
      <c r="A714" s="41"/>
    </row>
    <row r="715" spans="1:1" ht="15.75" x14ac:dyDescent="0.25">
      <c r="A715" s="41"/>
    </row>
    <row r="716" spans="1:1" ht="15.75" x14ac:dyDescent="0.25">
      <c r="A716" s="41"/>
    </row>
    <row r="717" spans="1:1" ht="15.75" x14ac:dyDescent="0.25">
      <c r="A717" s="41"/>
    </row>
    <row r="718" spans="1:1" ht="15.75" x14ac:dyDescent="0.25">
      <c r="A718" s="41"/>
    </row>
    <row r="719" spans="1:1" ht="15.75" x14ac:dyDescent="0.25">
      <c r="A719" s="41"/>
    </row>
    <row r="720" spans="1:1" ht="15.75" x14ac:dyDescent="0.25">
      <c r="A720" s="41"/>
    </row>
    <row r="721" spans="1:1" ht="15.75" x14ac:dyDescent="0.25">
      <c r="A721" s="41"/>
    </row>
    <row r="722" spans="1:1" ht="15.75" x14ac:dyDescent="0.25">
      <c r="A722" s="41"/>
    </row>
    <row r="723" spans="1:1" ht="15.75" x14ac:dyDescent="0.25">
      <c r="A723" s="41"/>
    </row>
    <row r="724" spans="1:1" ht="15.75" x14ac:dyDescent="0.25">
      <c r="A724" s="41"/>
    </row>
    <row r="725" spans="1:1" ht="15.75" x14ac:dyDescent="0.25">
      <c r="A725" s="41"/>
    </row>
    <row r="726" spans="1:1" ht="15.75" x14ac:dyDescent="0.25">
      <c r="A726" s="41"/>
    </row>
    <row r="727" spans="1:1" ht="15.75" x14ac:dyDescent="0.25">
      <c r="A727" s="41"/>
    </row>
    <row r="728" spans="1:1" ht="15.75" x14ac:dyDescent="0.25">
      <c r="A728" s="41"/>
    </row>
    <row r="729" spans="1:1" ht="15.75" x14ac:dyDescent="0.25">
      <c r="A729" s="41"/>
    </row>
    <row r="730" spans="1:1" ht="15.75" x14ac:dyDescent="0.25">
      <c r="A730" s="41"/>
    </row>
    <row r="731" spans="1:1" ht="15.75" x14ac:dyDescent="0.25">
      <c r="A731" s="41"/>
    </row>
    <row r="732" spans="1:1" ht="15.75" x14ac:dyDescent="0.25">
      <c r="A732" s="41"/>
    </row>
    <row r="733" spans="1:1" ht="15.75" x14ac:dyDescent="0.25">
      <c r="A733" s="41"/>
    </row>
    <row r="734" spans="1:1" ht="15.75" x14ac:dyDescent="0.25">
      <c r="A734" s="41"/>
    </row>
    <row r="735" spans="1:1" ht="15.75" x14ac:dyDescent="0.25">
      <c r="A735" s="41"/>
    </row>
    <row r="736" spans="1:1" ht="15.75" x14ac:dyDescent="0.25">
      <c r="A736" s="41"/>
    </row>
    <row r="737" spans="1:1" ht="15.75" x14ac:dyDescent="0.25">
      <c r="A737" s="41"/>
    </row>
    <row r="738" spans="1:1" ht="15.75" x14ac:dyDescent="0.25">
      <c r="A738" s="41"/>
    </row>
    <row r="739" spans="1:1" ht="15.75" x14ac:dyDescent="0.25">
      <c r="A739" s="41"/>
    </row>
    <row r="740" spans="1:1" ht="15.75" x14ac:dyDescent="0.25">
      <c r="A740" s="41"/>
    </row>
    <row r="741" spans="1:1" ht="15.75" x14ac:dyDescent="0.25">
      <c r="A741" s="41"/>
    </row>
    <row r="742" spans="1:1" ht="15.75" x14ac:dyDescent="0.25">
      <c r="A742" s="41"/>
    </row>
    <row r="743" spans="1:1" ht="15.75" x14ac:dyDescent="0.25">
      <c r="A743" s="41"/>
    </row>
    <row r="744" spans="1:1" ht="15.75" x14ac:dyDescent="0.25">
      <c r="A744" s="41"/>
    </row>
    <row r="745" spans="1:1" ht="15.75" x14ac:dyDescent="0.25">
      <c r="A745" s="41"/>
    </row>
    <row r="746" spans="1:1" ht="15.75" x14ac:dyDescent="0.25">
      <c r="A746" s="41"/>
    </row>
    <row r="747" spans="1:1" ht="15.75" x14ac:dyDescent="0.25">
      <c r="A747" s="41"/>
    </row>
    <row r="748" spans="1:1" ht="15.75" x14ac:dyDescent="0.25">
      <c r="A748" s="41"/>
    </row>
    <row r="749" spans="1:1" ht="15.75" x14ac:dyDescent="0.25">
      <c r="A749" s="41"/>
    </row>
    <row r="750" spans="1:1" ht="15.75" x14ac:dyDescent="0.25">
      <c r="A750" s="41"/>
    </row>
    <row r="751" spans="1:1" ht="15.75" x14ac:dyDescent="0.25">
      <c r="A751" s="41"/>
    </row>
    <row r="752" spans="1:1" ht="15.75" x14ac:dyDescent="0.25">
      <c r="A752" s="41"/>
    </row>
    <row r="753" spans="1:1" ht="15.75" x14ac:dyDescent="0.25">
      <c r="A753" s="41"/>
    </row>
    <row r="754" spans="1:1" ht="15.75" x14ac:dyDescent="0.25">
      <c r="A754" s="41"/>
    </row>
    <row r="755" spans="1:1" ht="15.75" x14ac:dyDescent="0.25">
      <c r="A755" s="41"/>
    </row>
    <row r="756" spans="1:1" ht="15.75" x14ac:dyDescent="0.25">
      <c r="A756" s="41"/>
    </row>
    <row r="757" spans="1:1" ht="15.75" x14ac:dyDescent="0.25">
      <c r="A757" s="41"/>
    </row>
    <row r="758" spans="1:1" ht="15.75" x14ac:dyDescent="0.25">
      <c r="A758" s="41"/>
    </row>
    <row r="759" spans="1:1" ht="15.75" x14ac:dyDescent="0.25">
      <c r="A759" s="41"/>
    </row>
    <row r="760" spans="1:1" ht="15.75" x14ac:dyDescent="0.25">
      <c r="A760" s="41"/>
    </row>
    <row r="761" spans="1:1" ht="15.75" x14ac:dyDescent="0.25">
      <c r="A761" s="41"/>
    </row>
    <row r="762" spans="1:1" ht="15.75" x14ac:dyDescent="0.25">
      <c r="A762" s="41"/>
    </row>
    <row r="763" spans="1:1" ht="15.75" x14ac:dyDescent="0.25">
      <c r="A763" s="41"/>
    </row>
    <row r="764" spans="1:1" ht="15.75" x14ac:dyDescent="0.25">
      <c r="A764" s="41"/>
    </row>
    <row r="765" spans="1:1" ht="15.75" x14ac:dyDescent="0.25">
      <c r="A765" s="41"/>
    </row>
    <row r="766" spans="1:1" ht="15.75" x14ac:dyDescent="0.25">
      <c r="A766" s="41"/>
    </row>
    <row r="767" spans="1:1" ht="15.75" x14ac:dyDescent="0.25">
      <c r="A767" s="41"/>
    </row>
    <row r="768" spans="1:1" ht="15.75" x14ac:dyDescent="0.25">
      <c r="A768" s="41"/>
    </row>
    <row r="769" spans="1:1" ht="15.75" x14ac:dyDescent="0.25">
      <c r="A769" s="41"/>
    </row>
    <row r="770" spans="1:1" ht="15.75" x14ac:dyDescent="0.25">
      <c r="A770" s="41"/>
    </row>
    <row r="771" spans="1:1" ht="15.75" x14ac:dyDescent="0.25">
      <c r="A771" s="41"/>
    </row>
    <row r="772" spans="1:1" ht="15.75" x14ac:dyDescent="0.25">
      <c r="A772" s="41"/>
    </row>
    <row r="773" spans="1:1" ht="15.75" x14ac:dyDescent="0.25">
      <c r="A773" s="41"/>
    </row>
    <row r="774" spans="1:1" ht="15.75" x14ac:dyDescent="0.25">
      <c r="A774" s="41"/>
    </row>
    <row r="775" spans="1:1" ht="15.75" x14ac:dyDescent="0.25">
      <c r="A775" s="41"/>
    </row>
    <row r="776" spans="1:1" ht="15.75" x14ac:dyDescent="0.25">
      <c r="A776" s="41"/>
    </row>
    <row r="777" spans="1:1" ht="15.75" x14ac:dyDescent="0.25">
      <c r="A777" s="41"/>
    </row>
    <row r="778" spans="1:1" ht="15.75" x14ac:dyDescent="0.25">
      <c r="A778" s="41"/>
    </row>
    <row r="779" spans="1:1" ht="15.75" x14ac:dyDescent="0.25">
      <c r="A779" s="41"/>
    </row>
    <row r="780" spans="1:1" ht="15.75" x14ac:dyDescent="0.25">
      <c r="A780" s="41"/>
    </row>
    <row r="781" spans="1:1" ht="15.75" x14ac:dyDescent="0.25">
      <c r="A781" s="41"/>
    </row>
    <row r="782" spans="1:1" ht="15.75" x14ac:dyDescent="0.25">
      <c r="A782" s="41"/>
    </row>
    <row r="783" spans="1:1" ht="15.75" x14ac:dyDescent="0.25">
      <c r="A783" s="41"/>
    </row>
    <row r="784" spans="1:1" ht="15.75" x14ac:dyDescent="0.25">
      <c r="A784" s="41"/>
    </row>
    <row r="785" spans="1:1" ht="15.75" x14ac:dyDescent="0.25">
      <c r="A785" s="41"/>
    </row>
    <row r="786" spans="1:1" ht="15.75" x14ac:dyDescent="0.25">
      <c r="A786" s="41"/>
    </row>
    <row r="787" spans="1:1" ht="15.75" x14ac:dyDescent="0.25">
      <c r="A787" s="41"/>
    </row>
    <row r="788" spans="1:1" ht="15.75" x14ac:dyDescent="0.25">
      <c r="A788" s="41"/>
    </row>
    <row r="789" spans="1:1" ht="15.75" x14ac:dyDescent="0.25">
      <c r="A789" s="41"/>
    </row>
    <row r="790" spans="1:1" ht="15.75" x14ac:dyDescent="0.25">
      <c r="A790" s="41"/>
    </row>
    <row r="791" spans="1:1" ht="15.75" x14ac:dyDescent="0.25">
      <c r="A791" s="41"/>
    </row>
    <row r="792" spans="1:1" ht="15.75" x14ac:dyDescent="0.25">
      <c r="A792" s="41"/>
    </row>
    <row r="793" spans="1:1" ht="15.75" x14ac:dyDescent="0.25">
      <c r="A793" s="41"/>
    </row>
    <row r="794" spans="1:1" ht="15.75" x14ac:dyDescent="0.25">
      <c r="A794" s="41"/>
    </row>
    <row r="795" spans="1:1" ht="15.75" x14ac:dyDescent="0.25">
      <c r="A795" s="41"/>
    </row>
    <row r="796" spans="1:1" ht="15.75" x14ac:dyDescent="0.25">
      <c r="A796" s="41"/>
    </row>
    <row r="797" spans="1:1" ht="15.75" x14ac:dyDescent="0.25">
      <c r="A797" s="41"/>
    </row>
    <row r="798" spans="1:1" ht="15.75" x14ac:dyDescent="0.25">
      <c r="A798" s="41"/>
    </row>
    <row r="799" spans="1:1" ht="15.75" x14ac:dyDescent="0.25">
      <c r="A799" s="41"/>
    </row>
    <row r="800" spans="1:1" ht="15.75" x14ac:dyDescent="0.25">
      <c r="A800" s="41"/>
    </row>
    <row r="801" spans="1:1" ht="15.75" x14ac:dyDescent="0.25">
      <c r="A801" s="41"/>
    </row>
    <row r="802" spans="1:1" ht="15.75" x14ac:dyDescent="0.25">
      <c r="A802" s="41"/>
    </row>
    <row r="803" spans="1:1" ht="15.75" x14ac:dyDescent="0.25">
      <c r="A803" s="41"/>
    </row>
    <row r="804" spans="1:1" ht="15.75" x14ac:dyDescent="0.25">
      <c r="A804" s="41"/>
    </row>
    <row r="805" spans="1:1" ht="15.75" x14ac:dyDescent="0.25">
      <c r="A805" s="41"/>
    </row>
    <row r="806" spans="1:1" ht="15.75" x14ac:dyDescent="0.25">
      <c r="A806" s="41"/>
    </row>
    <row r="807" spans="1:1" ht="15.75" x14ac:dyDescent="0.25">
      <c r="A807" s="41"/>
    </row>
    <row r="808" spans="1:1" ht="15.75" x14ac:dyDescent="0.25">
      <c r="A808" s="41"/>
    </row>
    <row r="809" spans="1:1" ht="15.75" x14ac:dyDescent="0.25">
      <c r="A809" s="41"/>
    </row>
    <row r="810" spans="1:1" ht="15.75" x14ac:dyDescent="0.25">
      <c r="A810" s="41"/>
    </row>
    <row r="811" spans="1:1" ht="15.75" x14ac:dyDescent="0.25">
      <c r="A811" s="41"/>
    </row>
    <row r="812" spans="1:1" ht="15.75" x14ac:dyDescent="0.25">
      <c r="A812" s="41"/>
    </row>
    <row r="813" spans="1:1" ht="15.75" x14ac:dyDescent="0.25">
      <c r="A813" s="41"/>
    </row>
    <row r="814" spans="1:1" ht="15.75" x14ac:dyDescent="0.25">
      <c r="A814" s="41"/>
    </row>
    <row r="815" spans="1:1" ht="15.75" x14ac:dyDescent="0.25">
      <c r="A815" s="41"/>
    </row>
    <row r="816" spans="1:1" ht="15.75" x14ac:dyDescent="0.25">
      <c r="A816" s="41"/>
    </row>
    <row r="817" spans="1:1" ht="15.75" x14ac:dyDescent="0.25">
      <c r="A817" s="41"/>
    </row>
    <row r="818" spans="1:1" ht="15.75" x14ac:dyDescent="0.25">
      <c r="A818" s="41"/>
    </row>
    <row r="819" spans="1:1" ht="15.75" x14ac:dyDescent="0.25">
      <c r="A819" s="41"/>
    </row>
    <row r="820" spans="1:1" ht="15.75" x14ac:dyDescent="0.25">
      <c r="A820" s="41"/>
    </row>
    <row r="821" spans="1:1" ht="15.75" x14ac:dyDescent="0.25">
      <c r="A821" s="41"/>
    </row>
    <row r="822" spans="1:1" ht="15.75" x14ac:dyDescent="0.25">
      <c r="A822" s="41"/>
    </row>
    <row r="823" spans="1:1" ht="15.75" x14ac:dyDescent="0.25">
      <c r="A823" s="41"/>
    </row>
    <row r="824" spans="1:1" ht="15.75" x14ac:dyDescent="0.25">
      <c r="A824" s="41"/>
    </row>
    <row r="825" spans="1:1" ht="15.75" x14ac:dyDescent="0.25">
      <c r="A825" s="41"/>
    </row>
    <row r="826" spans="1:1" ht="15.75" x14ac:dyDescent="0.25">
      <c r="A826" s="41"/>
    </row>
    <row r="827" spans="1:1" ht="15.75" x14ac:dyDescent="0.25">
      <c r="A827" s="41"/>
    </row>
    <row r="828" spans="1:1" ht="15.75" x14ac:dyDescent="0.25">
      <c r="A828" s="41"/>
    </row>
    <row r="829" spans="1:1" ht="15.75" x14ac:dyDescent="0.25">
      <c r="A829" s="41"/>
    </row>
    <row r="830" spans="1:1" ht="15.75" x14ac:dyDescent="0.25">
      <c r="A830" s="41"/>
    </row>
    <row r="831" spans="1:1" ht="15.75" x14ac:dyDescent="0.25">
      <c r="A831" s="41"/>
    </row>
    <row r="832" spans="1:1" ht="15.75" x14ac:dyDescent="0.25">
      <c r="A832" s="41"/>
    </row>
    <row r="833" spans="1:1" ht="15.75" x14ac:dyDescent="0.25">
      <c r="A833" s="41"/>
    </row>
    <row r="834" spans="1:1" ht="15.75" x14ac:dyDescent="0.25">
      <c r="A834" s="41"/>
    </row>
    <row r="835" spans="1:1" ht="15.75" x14ac:dyDescent="0.25">
      <c r="A835" s="41"/>
    </row>
    <row r="836" spans="1:1" ht="15.75" x14ac:dyDescent="0.25">
      <c r="A836" s="41"/>
    </row>
    <row r="837" spans="1:1" ht="15.75" x14ac:dyDescent="0.25">
      <c r="A837" s="41"/>
    </row>
    <row r="838" spans="1:1" ht="15.75" x14ac:dyDescent="0.25">
      <c r="A838" s="41"/>
    </row>
    <row r="839" spans="1:1" ht="15.75" x14ac:dyDescent="0.25">
      <c r="A839" s="41"/>
    </row>
    <row r="840" spans="1:1" ht="15.75" x14ac:dyDescent="0.25">
      <c r="A840" s="41"/>
    </row>
    <row r="841" spans="1:1" ht="15.75" x14ac:dyDescent="0.25">
      <c r="A841" s="41"/>
    </row>
    <row r="842" spans="1:1" ht="15.75" x14ac:dyDescent="0.25">
      <c r="A842" s="41"/>
    </row>
    <row r="843" spans="1:1" ht="15.75" x14ac:dyDescent="0.25">
      <c r="A843" s="41"/>
    </row>
    <row r="844" spans="1:1" ht="15.75" x14ac:dyDescent="0.25">
      <c r="A844" s="41"/>
    </row>
    <row r="845" spans="1:1" ht="15.75" x14ac:dyDescent="0.25">
      <c r="A845" s="41"/>
    </row>
    <row r="846" spans="1:1" ht="15.75" x14ac:dyDescent="0.25">
      <c r="A846" s="41"/>
    </row>
    <row r="847" spans="1:1" ht="15.75" x14ac:dyDescent="0.25">
      <c r="A847" s="41"/>
    </row>
    <row r="848" spans="1:1" ht="15.75" x14ac:dyDescent="0.25">
      <c r="A848" s="41"/>
    </row>
    <row r="849" spans="1:1" ht="15.75" x14ac:dyDescent="0.25">
      <c r="A849" s="41"/>
    </row>
    <row r="850" spans="1:1" ht="15.75" x14ac:dyDescent="0.25">
      <c r="A850" s="41"/>
    </row>
    <row r="851" spans="1:1" ht="15.75" x14ac:dyDescent="0.25">
      <c r="A851" s="41"/>
    </row>
    <row r="852" spans="1:1" ht="15.75" x14ac:dyDescent="0.25">
      <c r="A852" s="41"/>
    </row>
    <row r="853" spans="1:1" ht="15.75" x14ac:dyDescent="0.25">
      <c r="A853" s="41"/>
    </row>
    <row r="854" spans="1:1" ht="15.75" x14ac:dyDescent="0.25">
      <c r="A854" s="41"/>
    </row>
    <row r="855" spans="1:1" ht="15.75" x14ac:dyDescent="0.25">
      <c r="A855" s="41"/>
    </row>
    <row r="856" spans="1:1" ht="15.75" x14ac:dyDescent="0.25">
      <c r="A856" s="41"/>
    </row>
    <row r="857" spans="1:1" ht="15.75" x14ac:dyDescent="0.25">
      <c r="A857" s="41"/>
    </row>
    <row r="858" spans="1:1" ht="15.75" x14ac:dyDescent="0.25">
      <c r="A858" s="41"/>
    </row>
    <row r="859" spans="1:1" ht="15.75" x14ac:dyDescent="0.25">
      <c r="A859" s="41"/>
    </row>
    <row r="860" spans="1:1" ht="15.75" x14ac:dyDescent="0.25">
      <c r="A860" s="41"/>
    </row>
    <row r="861" spans="1:1" ht="15.75" x14ac:dyDescent="0.25">
      <c r="A861" s="41"/>
    </row>
    <row r="862" spans="1:1" ht="15.75" x14ac:dyDescent="0.25">
      <c r="A862" s="41"/>
    </row>
    <row r="863" spans="1:1" ht="15.75" x14ac:dyDescent="0.25">
      <c r="A863" s="41"/>
    </row>
    <row r="864" spans="1:1" ht="15.75" x14ac:dyDescent="0.25">
      <c r="A864" s="41"/>
    </row>
    <row r="865" spans="1:1" ht="15.75" x14ac:dyDescent="0.25">
      <c r="A865" s="41"/>
    </row>
    <row r="866" spans="1:1" ht="15.75" x14ac:dyDescent="0.25">
      <c r="A866" s="41"/>
    </row>
    <row r="867" spans="1:1" ht="15.75" x14ac:dyDescent="0.25">
      <c r="A867" s="41"/>
    </row>
    <row r="868" spans="1:1" ht="15.75" x14ac:dyDescent="0.25">
      <c r="A868" s="41"/>
    </row>
    <row r="869" spans="1:1" ht="15.75" x14ac:dyDescent="0.25">
      <c r="A869" s="41"/>
    </row>
    <row r="870" spans="1:1" ht="15.75" x14ac:dyDescent="0.25">
      <c r="A870" s="41"/>
    </row>
    <row r="871" spans="1:1" ht="15.75" x14ac:dyDescent="0.25">
      <c r="A871" s="41"/>
    </row>
    <row r="872" spans="1:1" ht="15.75" x14ac:dyDescent="0.25">
      <c r="A872" s="41"/>
    </row>
    <row r="873" spans="1:1" ht="15.75" x14ac:dyDescent="0.25">
      <c r="A873" s="41"/>
    </row>
    <row r="874" spans="1:1" ht="15.75" x14ac:dyDescent="0.25">
      <c r="A874" s="41"/>
    </row>
    <row r="875" spans="1:1" ht="15.75" x14ac:dyDescent="0.25">
      <c r="A875" s="41"/>
    </row>
    <row r="876" spans="1:1" ht="15.75" x14ac:dyDescent="0.25">
      <c r="A876" s="41"/>
    </row>
    <row r="877" spans="1:1" ht="15.75" x14ac:dyDescent="0.25">
      <c r="A877" s="41"/>
    </row>
    <row r="878" spans="1:1" ht="15.75" x14ac:dyDescent="0.25">
      <c r="A878" s="41"/>
    </row>
    <row r="879" spans="1:1" ht="15.75" x14ac:dyDescent="0.25">
      <c r="A879" s="41"/>
    </row>
    <row r="880" spans="1:1" ht="15.75" x14ac:dyDescent="0.25">
      <c r="A880" s="41"/>
    </row>
    <row r="881" spans="1:1" ht="15.75" x14ac:dyDescent="0.25">
      <c r="A881" s="41"/>
    </row>
    <row r="882" spans="1:1" ht="15.75" x14ac:dyDescent="0.25">
      <c r="A882" s="41"/>
    </row>
    <row r="883" spans="1:1" ht="15.75" x14ac:dyDescent="0.25">
      <c r="A883" s="41"/>
    </row>
    <row r="884" spans="1:1" ht="15.75" x14ac:dyDescent="0.25">
      <c r="A884" s="41"/>
    </row>
    <row r="885" spans="1:1" ht="15.75" x14ac:dyDescent="0.25">
      <c r="A885" s="41"/>
    </row>
    <row r="886" spans="1:1" ht="15.75" x14ac:dyDescent="0.25">
      <c r="A886" s="41"/>
    </row>
    <row r="887" spans="1:1" ht="15.75" x14ac:dyDescent="0.25">
      <c r="A887" s="41"/>
    </row>
    <row r="888" spans="1:1" ht="15.75" x14ac:dyDescent="0.25">
      <c r="A888" s="41"/>
    </row>
    <row r="889" spans="1:1" ht="15.75" x14ac:dyDescent="0.25">
      <c r="A889" s="41"/>
    </row>
    <row r="890" spans="1:1" ht="15.75" x14ac:dyDescent="0.25">
      <c r="A890" s="41"/>
    </row>
    <row r="891" spans="1:1" ht="15.75" x14ac:dyDescent="0.25">
      <c r="A891" s="41"/>
    </row>
    <row r="892" spans="1:1" ht="15.75" x14ac:dyDescent="0.25">
      <c r="A892" s="41"/>
    </row>
    <row r="893" spans="1:1" ht="15.75" x14ac:dyDescent="0.25">
      <c r="A893" s="41"/>
    </row>
    <row r="894" spans="1:1" ht="15.75" x14ac:dyDescent="0.25">
      <c r="A894" s="41"/>
    </row>
    <row r="895" spans="1:1" ht="15.75" x14ac:dyDescent="0.25">
      <c r="A895" s="41"/>
    </row>
    <row r="896" spans="1:1" ht="15.75" x14ac:dyDescent="0.25">
      <c r="A896" s="41"/>
    </row>
    <row r="897" spans="1:1" ht="15.75" x14ac:dyDescent="0.25">
      <c r="A897" s="41"/>
    </row>
    <row r="898" spans="1:1" ht="15.75" x14ac:dyDescent="0.25">
      <c r="A898" s="41"/>
    </row>
    <row r="899" spans="1:1" ht="15.75" x14ac:dyDescent="0.25">
      <c r="A899" s="41"/>
    </row>
    <row r="900" spans="1:1" ht="15.75" x14ac:dyDescent="0.25">
      <c r="A900" s="41"/>
    </row>
    <row r="901" spans="1:1" ht="15.75" x14ac:dyDescent="0.25">
      <c r="A901" s="41"/>
    </row>
    <row r="902" spans="1:1" ht="15.75" x14ac:dyDescent="0.25">
      <c r="A902" s="41"/>
    </row>
    <row r="903" spans="1:1" ht="15.75" x14ac:dyDescent="0.25">
      <c r="A903" s="41"/>
    </row>
    <row r="904" spans="1:1" ht="15.75" x14ac:dyDescent="0.25">
      <c r="A904" s="41"/>
    </row>
    <row r="905" spans="1:1" ht="15.75" x14ac:dyDescent="0.25">
      <c r="A905" s="41"/>
    </row>
    <row r="906" spans="1:1" ht="15.75" x14ac:dyDescent="0.25">
      <c r="A906" s="41"/>
    </row>
    <row r="907" spans="1:1" ht="15.75" x14ac:dyDescent="0.25">
      <c r="A907" s="41"/>
    </row>
    <row r="908" spans="1:1" ht="15.75" x14ac:dyDescent="0.25">
      <c r="A908" s="41"/>
    </row>
    <row r="909" spans="1:1" ht="15.75" x14ac:dyDescent="0.25">
      <c r="A909" s="41"/>
    </row>
    <row r="910" spans="1:1" ht="15.75" x14ac:dyDescent="0.25">
      <c r="A910" s="41"/>
    </row>
    <row r="911" spans="1:1" ht="15.75" x14ac:dyDescent="0.25">
      <c r="A911" s="41"/>
    </row>
    <row r="912" spans="1:1" ht="15.75" x14ac:dyDescent="0.25">
      <c r="A912" s="41"/>
    </row>
    <row r="913" spans="1:1" ht="15.75" x14ac:dyDescent="0.25">
      <c r="A913" s="41"/>
    </row>
    <row r="914" spans="1:1" ht="15.75" x14ac:dyDescent="0.25">
      <c r="A914" s="41"/>
    </row>
    <row r="915" spans="1:1" ht="15.75" x14ac:dyDescent="0.25">
      <c r="A915" s="41"/>
    </row>
    <row r="916" spans="1:1" ht="15.75" x14ac:dyDescent="0.25">
      <c r="A916" s="41"/>
    </row>
    <row r="917" spans="1:1" ht="15.75" x14ac:dyDescent="0.25">
      <c r="A917" s="41"/>
    </row>
    <row r="918" spans="1:1" ht="15.75" x14ac:dyDescent="0.25">
      <c r="A918" s="41"/>
    </row>
    <row r="919" spans="1:1" ht="15.75" x14ac:dyDescent="0.25">
      <c r="A919" s="41"/>
    </row>
    <row r="920" spans="1:1" ht="15.75" x14ac:dyDescent="0.25">
      <c r="A920" s="41"/>
    </row>
    <row r="921" spans="1:1" ht="15.75" x14ac:dyDescent="0.25">
      <c r="A921" s="41"/>
    </row>
    <row r="922" spans="1:1" ht="15.75" x14ac:dyDescent="0.25">
      <c r="A922" s="41"/>
    </row>
    <row r="923" spans="1:1" ht="15.75" x14ac:dyDescent="0.25">
      <c r="A923" s="41"/>
    </row>
    <row r="924" spans="1:1" ht="15.75" x14ac:dyDescent="0.25">
      <c r="A924" s="41"/>
    </row>
    <row r="925" spans="1:1" ht="15.75" x14ac:dyDescent="0.25">
      <c r="A925" s="41"/>
    </row>
    <row r="926" spans="1:1" ht="15.75" x14ac:dyDescent="0.25">
      <c r="A926" s="41"/>
    </row>
    <row r="927" spans="1:1" ht="15.75" x14ac:dyDescent="0.25">
      <c r="A927" s="41"/>
    </row>
    <row r="928" spans="1:1" ht="15.75" x14ac:dyDescent="0.25">
      <c r="A928" s="41"/>
    </row>
    <row r="929" spans="1:1" ht="15.75" x14ac:dyDescent="0.25">
      <c r="A929" s="41"/>
    </row>
    <row r="930" spans="1:1" ht="15.75" x14ac:dyDescent="0.25">
      <c r="A930" s="41"/>
    </row>
    <row r="931" spans="1:1" ht="15.75" x14ac:dyDescent="0.25">
      <c r="A931" s="41"/>
    </row>
    <row r="932" spans="1:1" ht="15.75" x14ac:dyDescent="0.25">
      <c r="A932" s="41"/>
    </row>
    <row r="933" spans="1:1" ht="15.75" x14ac:dyDescent="0.25">
      <c r="A933" s="41"/>
    </row>
    <row r="934" spans="1:1" ht="15.75" x14ac:dyDescent="0.25">
      <c r="A934" s="41"/>
    </row>
    <row r="935" spans="1:1" ht="15.75" x14ac:dyDescent="0.25">
      <c r="A935" s="41"/>
    </row>
    <row r="936" spans="1:1" ht="15.75" x14ac:dyDescent="0.25">
      <c r="A936" s="41"/>
    </row>
    <row r="937" spans="1:1" ht="15.75" x14ac:dyDescent="0.25">
      <c r="A937" s="41"/>
    </row>
    <row r="938" spans="1:1" ht="15.75" x14ac:dyDescent="0.25">
      <c r="A938" s="41"/>
    </row>
    <row r="939" spans="1:1" ht="15.75" x14ac:dyDescent="0.25">
      <c r="A939" s="41"/>
    </row>
    <row r="940" spans="1:1" ht="15.75" x14ac:dyDescent="0.25">
      <c r="A940" s="41"/>
    </row>
    <row r="941" spans="1:1" ht="15.75" x14ac:dyDescent="0.25">
      <c r="A941" s="41"/>
    </row>
    <row r="942" spans="1:1" ht="15.75" x14ac:dyDescent="0.25">
      <c r="A942" s="41"/>
    </row>
    <row r="943" spans="1:1" ht="15.75" x14ac:dyDescent="0.25">
      <c r="A943" s="41"/>
    </row>
    <row r="944" spans="1:1" ht="15.75" x14ac:dyDescent="0.25">
      <c r="A944" s="41"/>
    </row>
    <row r="945" spans="1:1" ht="15.75" x14ac:dyDescent="0.25">
      <c r="A945" s="41"/>
    </row>
    <row r="946" spans="1:1" ht="15.75" x14ac:dyDescent="0.25">
      <c r="A946" s="41"/>
    </row>
    <row r="947" spans="1:1" ht="15.75" x14ac:dyDescent="0.25">
      <c r="A947" s="41"/>
    </row>
    <row r="948" spans="1:1" ht="15.75" x14ac:dyDescent="0.25">
      <c r="A948" s="41"/>
    </row>
    <row r="949" spans="1:1" ht="15.75" x14ac:dyDescent="0.25">
      <c r="A949" s="41"/>
    </row>
    <row r="950" spans="1:1" ht="15.75" x14ac:dyDescent="0.25">
      <c r="A950" s="41"/>
    </row>
    <row r="951" spans="1:1" ht="15.75" x14ac:dyDescent="0.25">
      <c r="A951" s="41"/>
    </row>
    <row r="952" spans="1:1" ht="15.75" x14ac:dyDescent="0.25">
      <c r="A952" s="41"/>
    </row>
    <row r="953" spans="1:1" ht="15.75" x14ac:dyDescent="0.25">
      <c r="A953" s="41"/>
    </row>
    <row r="954" spans="1:1" ht="15.75" x14ac:dyDescent="0.25">
      <c r="A954" s="41"/>
    </row>
    <row r="955" spans="1:1" ht="15.75" x14ac:dyDescent="0.25">
      <c r="A955" s="41"/>
    </row>
    <row r="956" spans="1:1" ht="15.75" x14ac:dyDescent="0.25">
      <c r="A956" s="41"/>
    </row>
    <row r="957" spans="1:1" ht="15.75" x14ac:dyDescent="0.25">
      <c r="A957" s="41"/>
    </row>
    <row r="958" spans="1:1" ht="15.75" x14ac:dyDescent="0.25">
      <c r="A958" s="41"/>
    </row>
    <row r="959" spans="1:1" ht="15.75" x14ac:dyDescent="0.25">
      <c r="A959" s="41"/>
    </row>
    <row r="960" spans="1:1" ht="15.75" x14ac:dyDescent="0.25">
      <c r="A960" s="41"/>
    </row>
    <row r="961" spans="1:1" ht="15.75" x14ac:dyDescent="0.25">
      <c r="A961" s="41"/>
    </row>
    <row r="962" spans="1:1" ht="15.75" x14ac:dyDescent="0.25">
      <c r="A962" s="41"/>
    </row>
    <row r="963" spans="1:1" ht="15.75" x14ac:dyDescent="0.25">
      <c r="A963" s="41"/>
    </row>
    <row r="964" spans="1:1" ht="15.75" x14ac:dyDescent="0.25">
      <c r="A964" s="41"/>
    </row>
    <row r="965" spans="1:1" ht="15.75" x14ac:dyDescent="0.25">
      <c r="A965" s="41"/>
    </row>
    <row r="966" spans="1:1" ht="15.75" x14ac:dyDescent="0.25">
      <c r="A966" s="41"/>
    </row>
    <row r="967" spans="1:1" ht="15.75" x14ac:dyDescent="0.25">
      <c r="A967" s="41"/>
    </row>
    <row r="968" spans="1:1" ht="15.75" x14ac:dyDescent="0.25">
      <c r="A968" s="41"/>
    </row>
    <row r="969" spans="1:1" ht="15.75" x14ac:dyDescent="0.25">
      <c r="A969" s="41"/>
    </row>
    <row r="970" spans="1:1" ht="15.75" x14ac:dyDescent="0.25">
      <c r="A970" s="41"/>
    </row>
    <row r="971" spans="1:1" ht="15.75" x14ac:dyDescent="0.25">
      <c r="A971" s="41"/>
    </row>
    <row r="972" spans="1:1" ht="15.75" x14ac:dyDescent="0.25">
      <c r="A972" s="41"/>
    </row>
    <row r="973" spans="1:1" ht="15.75" x14ac:dyDescent="0.25">
      <c r="A973" s="41"/>
    </row>
    <row r="974" spans="1:1" ht="15.75" x14ac:dyDescent="0.25">
      <c r="A974" s="41"/>
    </row>
    <row r="975" spans="1:1" ht="15.75" x14ac:dyDescent="0.25">
      <c r="A975" s="41"/>
    </row>
    <row r="976" spans="1:1" ht="15.75" x14ac:dyDescent="0.25">
      <c r="A976" s="41"/>
    </row>
    <row r="977" spans="1:1" ht="15.75" x14ac:dyDescent="0.25">
      <c r="A977" s="41"/>
    </row>
    <row r="978" spans="1:1" ht="15.75" x14ac:dyDescent="0.25">
      <c r="A978" s="41"/>
    </row>
    <row r="979" spans="1:1" ht="15.75" x14ac:dyDescent="0.25">
      <c r="A979" s="41"/>
    </row>
    <row r="980" spans="1:1" ht="15.75" x14ac:dyDescent="0.25">
      <c r="A980" s="41"/>
    </row>
    <row r="981" spans="1:1" ht="15.75" x14ac:dyDescent="0.25">
      <c r="A981" s="41"/>
    </row>
    <row r="982" spans="1:1" ht="15.75" x14ac:dyDescent="0.25">
      <c r="A982" s="41"/>
    </row>
    <row r="983" spans="1:1" ht="15.75" x14ac:dyDescent="0.25">
      <c r="A983" s="41"/>
    </row>
    <row r="984" spans="1:1" ht="15.75" x14ac:dyDescent="0.25">
      <c r="A984" s="41"/>
    </row>
    <row r="985" spans="1:1" ht="15.75" x14ac:dyDescent="0.25">
      <c r="A985" s="41"/>
    </row>
    <row r="986" spans="1:1" ht="15.75" x14ac:dyDescent="0.25">
      <c r="A986" s="41"/>
    </row>
    <row r="987" spans="1:1" ht="15.75" x14ac:dyDescent="0.25">
      <c r="A987" s="41"/>
    </row>
    <row r="988" spans="1:1" ht="15.75" x14ac:dyDescent="0.25">
      <c r="A988" s="41"/>
    </row>
    <row r="989" spans="1:1" ht="15.75" x14ac:dyDescent="0.25">
      <c r="A989" s="41"/>
    </row>
    <row r="990" spans="1:1" ht="15.75" x14ac:dyDescent="0.25">
      <c r="A990" s="41"/>
    </row>
    <row r="991" spans="1:1" ht="15.75" x14ac:dyDescent="0.25">
      <c r="A991" s="41"/>
    </row>
    <row r="992" spans="1:1" ht="15.75" x14ac:dyDescent="0.25">
      <c r="A992" s="41"/>
    </row>
    <row r="993" spans="1:1" ht="15.75" x14ac:dyDescent="0.25">
      <c r="A993" s="41"/>
    </row>
    <row r="994" spans="1:1" ht="15.75" x14ac:dyDescent="0.25">
      <c r="A994" s="41"/>
    </row>
    <row r="995" spans="1:1" ht="15.75" x14ac:dyDescent="0.25">
      <c r="A995" s="41"/>
    </row>
    <row r="996" spans="1:1" ht="15.75" x14ac:dyDescent="0.25">
      <c r="A996" s="41"/>
    </row>
    <row r="997" spans="1:1" ht="15.75" x14ac:dyDescent="0.25">
      <c r="A997" s="41"/>
    </row>
    <row r="998" spans="1:1" ht="15.75" x14ac:dyDescent="0.25">
      <c r="A998" s="41"/>
    </row>
    <row r="999" spans="1:1" ht="15.75" x14ac:dyDescent="0.25">
      <c r="A999" s="41"/>
    </row>
    <row r="1000" spans="1:1" ht="15.75" x14ac:dyDescent="0.25">
      <c r="A1000" s="41"/>
    </row>
    <row r="1001" spans="1:1" ht="15.75" x14ac:dyDescent="0.25">
      <c r="A1001" s="41"/>
    </row>
    <row r="1002" spans="1:1" ht="15.75" x14ac:dyDescent="0.25">
      <c r="A1002" s="41"/>
    </row>
    <row r="1003" spans="1:1" ht="15.75" x14ac:dyDescent="0.25">
      <c r="A1003" s="41"/>
    </row>
    <row r="1004" spans="1:1" ht="15.75" x14ac:dyDescent="0.25">
      <c r="A1004" s="41"/>
    </row>
    <row r="1005" spans="1:1" ht="15.75" x14ac:dyDescent="0.25">
      <c r="A1005" s="41"/>
    </row>
    <row r="1006" spans="1:1" ht="15.75" x14ac:dyDescent="0.25">
      <c r="A1006" s="41"/>
    </row>
    <row r="1007" spans="1:1" ht="15.75" x14ac:dyDescent="0.25">
      <c r="A1007" s="41"/>
    </row>
    <row r="1008" spans="1:1" ht="15.75" x14ac:dyDescent="0.25">
      <c r="A1008" s="41"/>
    </row>
    <row r="1009" spans="1:1" ht="15.75" x14ac:dyDescent="0.25">
      <c r="A1009" s="41"/>
    </row>
    <row r="1010" spans="1:1" ht="15.75" x14ac:dyDescent="0.25">
      <c r="A1010" s="41"/>
    </row>
    <row r="1011" spans="1:1" ht="15.75" x14ac:dyDescent="0.25">
      <c r="A1011" s="41"/>
    </row>
    <row r="1012" spans="1:1" ht="15.75" x14ac:dyDescent="0.25">
      <c r="A1012" s="41"/>
    </row>
    <row r="1013" spans="1:1" ht="15.75" x14ac:dyDescent="0.25">
      <c r="A1013" s="41"/>
    </row>
    <row r="1014" spans="1:1" ht="15.75" x14ac:dyDescent="0.25">
      <c r="A1014" s="41"/>
    </row>
    <row r="1015" spans="1:1" ht="15.75" x14ac:dyDescent="0.25">
      <c r="A1015" s="41"/>
    </row>
    <row r="1016" spans="1:1" ht="15.75" x14ac:dyDescent="0.25">
      <c r="A1016" s="41"/>
    </row>
    <row r="1017" spans="1:1" ht="15.75" x14ac:dyDescent="0.25">
      <c r="A1017" s="41"/>
    </row>
    <row r="1018" spans="1:1" ht="15.75" x14ac:dyDescent="0.25">
      <c r="A1018" s="41"/>
    </row>
    <row r="1019" spans="1:1" ht="15.75" x14ac:dyDescent="0.25">
      <c r="A1019" s="41"/>
    </row>
    <row r="1020" spans="1:1" ht="15.75" x14ac:dyDescent="0.25">
      <c r="A1020" s="41"/>
    </row>
    <row r="1021" spans="1:1" ht="15.75" x14ac:dyDescent="0.25">
      <c r="A1021" s="41"/>
    </row>
    <row r="1022" spans="1:1" ht="15.75" x14ac:dyDescent="0.25">
      <c r="A1022" s="41"/>
    </row>
    <row r="1023" spans="1:1" ht="15.75" x14ac:dyDescent="0.25">
      <c r="A1023" s="41"/>
    </row>
    <row r="1024" spans="1:1" ht="15.75" x14ac:dyDescent="0.25">
      <c r="A1024" s="41"/>
    </row>
    <row r="1025" spans="1:1" ht="15.75" x14ac:dyDescent="0.25">
      <c r="A1025" s="41"/>
    </row>
    <row r="1026" spans="1:1" ht="15.75" x14ac:dyDescent="0.25">
      <c r="A1026" s="41"/>
    </row>
    <row r="1027" spans="1:1" ht="15.75" x14ac:dyDescent="0.25">
      <c r="A1027" s="41"/>
    </row>
    <row r="1028" spans="1:1" ht="15.75" x14ac:dyDescent="0.25">
      <c r="A1028" s="41"/>
    </row>
    <row r="1029" spans="1:1" ht="15.75" x14ac:dyDescent="0.25">
      <c r="A1029" s="41"/>
    </row>
    <row r="1030" spans="1:1" ht="15.75" x14ac:dyDescent="0.25">
      <c r="A1030" s="41"/>
    </row>
    <row r="1031" spans="1:1" ht="15.75" x14ac:dyDescent="0.25">
      <c r="A1031" s="41"/>
    </row>
    <row r="1032" spans="1:1" ht="15.75" x14ac:dyDescent="0.25">
      <c r="A1032" s="41"/>
    </row>
    <row r="1033" spans="1:1" ht="15.75" x14ac:dyDescent="0.25">
      <c r="A1033" s="41"/>
    </row>
    <row r="1034" spans="1:1" ht="15.75" x14ac:dyDescent="0.25">
      <c r="A1034" s="41"/>
    </row>
    <row r="1035" spans="1:1" ht="15.75" x14ac:dyDescent="0.25">
      <c r="A1035" s="41"/>
    </row>
    <row r="1036" spans="1:1" ht="15.75" x14ac:dyDescent="0.25">
      <c r="A1036" s="41"/>
    </row>
    <row r="1037" spans="1:1" ht="15.75" x14ac:dyDescent="0.25">
      <c r="A1037" s="41"/>
    </row>
    <row r="1038" spans="1:1" ht="15.75" x14ac:dyDescent="0.25">
      <c r="A1038" s="41"/>
    </row>
    <row r="1039" spans="1:1" ht="15.75" x14ac:dyDescent="0.25">
      <c r="A1039" s="41"/>
    </row>
    <row r="1040" spans="1:1" ht="15.75" x14ac:dyDescent="0.25">
      <c r="A1040" s="41"/>
    </row>
    <row r="1041" spans="1:1" ht="15.75" x14ac:dyDescent="0.25">
      <c r="A1041" s="41"/>
    </row>
    <row r="1042" spans="1:1" ht="15.75" x14ac:dyDescent="0.25">
      <c r="A1042" s="41"/>
    </row>
    <row r="1043" spans="1:1" ht="15.75" x14ac:dyDescent="0.25">
      <c r="A1043" s="41"/>
    </row>
    <row r="1044" spans="1:1" ht="15.75" x14ac:dyDescent="0.25">
      <c r="A1044" s="41"/>
    </row>
    <row r="1045" spans="1:1" ht="15.75" x14ac:dyDescent="0.25">
      <c r="A1045" s="41"/>
    </row>
    <row r="1046" spans="1:1" ht="15.75" x14ac:dyDescent="0.25">
      <c r="A1046" s="41"/>
    </row>
    <row r="1047" spans="1:1" ht="15.75" x14ac:dyDescent="0.25">
      <c r="A1047" s="41"/>
    </row>
    <row r="1048" spans="1:1" ht="15.75" x14ac:dyDescent="0.25">
      <c r="A1048" s="41"/>
    </row>
    <row r="1049" spans="1:1" ht="15.75" x14ac:dyDescent="0.25">
      <c r="A1049" s="41"/>
    </row>
    <row r="1050" spans="1:1" ht="15.75" x14ac:dyDescent="0.25">
      <c r="A1050" s="41"/>
    </row>
    <row r="1051" spans="1:1" ht="15.75" x14ac:dyDescent="0.25">
      <c r="A1051" s="41"/>
    </row>
    <row r="1052" spans="1:1" ht="15.75" x14ac:dyDescent="0.25">
      <c r="A1052" s="41"/>
    </row>
    <row r="1053" spans="1:1" ht="15.75" x14ac:dyDescent="0.25">
      <c r="A1053" s="41"/>
    </row>
    <row r="1054" spans="1:1" ht="15.75" x14ac:dyDescent="0.25">
      <c r="A1054" s="41"/>
    </row>
    <row r="1055" spans="1:1" ht="15.75" x14ac:dyDescent="0.25">
      <c r="A1055" s="41"/>
    </row>
    <row r="1056" spans="1:1" ht="15.75" x14ac:dyDescent="0.25">
      <c r="A1056" s="41"/>
    </row>
    <row r="1057" spans="1:1" ht="15.75" x14ac:dyDescent="0.25">
      <c r="A1057" s="41"/>
    </row>
    <row r="1058" spans="1:1" ht="15.75" x14ac:dyDescent="0.25">
      <c r="A1058" s="41"/>
    </row>
    <row r="1059" spans="1:1" ht="15.75" x14ac:dyDescent="0.25">
      <c r="A1059" s="41"/>
    </row>
    <row r="1060" spans="1:1" ht="15.75" x14ac:dyDescent="0.25">
      <c r="A1060" s="41"/>
    </row>
    <row r="1061" spans="1:1" ht="15.75" x14ac:dyDescent="0.25">
      <c r="A1061" s="41"/>
    </row>
    <row r="1062" spans="1:1" ht="15.75" x14ac:dyDescent="0.25">
      <c r="A1062" s="41"/>
    </row>
    <row r="1063" spans="1:1" ht="15.75" x14ac:dyDescent="0.25">
      <c r="A1063" s="41"/>
    </row>
    <row r="1064" spans="1:1" ht="15.75" x14ac:dyDescent="0.25">
      <c r="A1064" s="41"/>
    </row>
    <row r="1065" spans="1:1" ht="15.75" x14ac:dyDescent="0.25">
      <c r="A1065" s="41"/>
    </row>
    <row r="1066" spans="1:1" ht="15.75" x14ac:dyDescent="0.25">
      <c r="A1066" s="41"/>
    </row>
    <row r="1067" spans="1:1" ht="15.75" x14ac:dyDescent="0.25">
      <c r="A1067" s="41"/>
    </row>
    <row r="1068" spans="1:1" ht="15.75" x14ac:dyDescent="0.25">
      <c r="A1068" s="41"/>
    </row>
    <row r="1069" spans="1:1" ht="15.75" x14ac:dyDescent="0.25">
      <c r="A1069" s="41"/>
    </row>
    <row r="1070" spans="1:1" ht="15.75" x14ac:dyDescent="0.25">
      <c r="A1070" s="41"/>
    </row>
    <row r="1071" spans="1:1" ht="15.75" x14ac:dyDescent="0.25">
      <c r="A1071" s="41"/>
    </row>
    <row r="1072" spans="1:1" ht="15.75" x14ac:dyDescent="0.25">
      <c r="A1072" s="41"/>
    </row>
    <row r="1073" spans="1:1" ht="15.75" x14ac:dyDescent="0.25">
      <c r="A1073" s="41"/>
    </row>
    <row r="1074" spans="1:1" ht="15.75" x14ac:dyDescent="0.25">
      <c r="A1074" s="41"/>
    </row>
    <row r="1075" spans="1:1" ht="15.75" x14ac:dyDescent="0.25">
      <c r="A1075" s="41"/>
    </row>
    <row r="1076" spans="1:1" ht="15.75" x14ac:dyDescent="0.25">
      <c r="A1076" s="41"/>
    </row>
    <row r="1077" spans="1:1" ht="15.75" x14ac:dyDescent="0.25">
      <c r="A1077" s="41"/>
    </row>
    <row r="1078" spans="1:1" ht="15.75" x14ac:dyDescent="0.25">
      <c r="A1078" s="41"/>
    </row>
    <row r="1079" spans="1:1" ht="15.75" x14ac:dyDescent="0.25">
      <c r="A1079" s="41"/>
    </row>
    <row r="1080" spans="1:1" ht="15.75" x14ac:dyDescent="0.25">
      <c r="A1080" s="41"/>
    </row>
    <row r="1081" spans="1:1" ht="15.75" x14ac:dyDescent="0.25">
      <c r="A1081" s="41"/>
    </row>
    <row r="1082" spans="1:1" ht="15.75" x14ac:dyDescent="0.25">
      <c r="A1082" s="41"/>
    </row>
    <row r="1083" spans="1:1" ht="15.75" x14ac:dyDescent="0.25">
      <c r="A1083" s="41"/>
    </row>
    <row r="1084" spans="1:1" ht="15.75" x14ac:dyDescent="0.25">
      <c r="A1084" s="41"/>
    </row>
    <row r="1085" spans="1:1" ht="15.75" x14ac:dyDescent="0.25">
      <c r="A1085" s="41"/>
    </row>
    <row r="1086" spans="1:1" ht="15.75" x14ac:dyDescent="0.25">
      <c r="A1086" s="41"/>
    </row>
    <row r="1087" spans="1:1" ht="15.75" x14ac:dyDescent="0.25">
      <c r="A1087" s="41"/>
    </row>
    <row r="1088" spans="1:1" ht="15.75" x14ac:dyDescent="0.25">
      <c r="A1088" s="41"/>
    </row>
    <row r="1089" spans="1:1" ht="15.75" x14ac:dyDescent="0.25">
      <c r="A1089" s="41"/>
    </row>
    <row r="1090" spans="1:1" ht="15.75" x14ac:dyDescent="0.25">
      <c r="A1090" s="41"/>
    </row>
    <row r="1091" spans="1:1" ht="15.75" x14ac:dyDescent="0.25">
      <c r="A1091" s="41"/>
    </row>
    <row r="1092" spans="1:1" ht="15.75" x14ac:dyDescent="0.25">
      <c r="A1092" s="41"/>
    </row>
    <row r="1093" spans="1:1" ht="15.75" x14ac:dyDescent="0.25">
      <c r="A1093" s="41"/>
    </row>
    <row r="1094" spans="1:1" ht="15.75" x14ac:dyDescent="0.25">
      <c r="A1094" s="41"/>
    </row>
    <row r="1095" spans="1:1" ht="15.75" x14ac:dyDescent="0.25">
      <c r="A1095" s="41"/>
    </row>
    <row r="1096" spans="1:1" ht="15.75" x14ac:dyDescent="0.25">
      <c r="A1096" s="41"/>
    </row>
    <row r="1097" spans="1:1" ht="15.75" x14ac:dyDescent="0.25">
      <c r="A1097" s="41"/>
    </row>
    <row r="1098" spans="1:1" ht="15.75" x14ac:dyDescent="0.25">
      <c r="A1098" s="41"/>
    </row>
    <row r="1099" spans="1:1" ht="15.75" x14ac:dyDescent="0.25">
      <c r="A1099" s="41"/>
    </row>
    <row r="1100" spans="1:1" ht="15.75" x14ac:dyDescent="0.25">
      <c r="A1100" s="41"/>
    </row>
    <row r="1101" spans="1:1" ht="15.75" x14ac:dyDescent="0.25">
      <c r="A1101" s="41"/>
    </row>
    <row r="1102" spans="1:1" ht="15.75" x14ac:dyDescent="0.25">
      <c r="A1102" s="41"/>
    </row>
    <row r="1103" spans="1:1" ht="15.75" x14ac:dyDescent="0.25">
      <c r="A1103" s="41"/>
    </row>
    <row r="1104" spans="1:1" ht="15.75" x14ac:dyDescent="0.25">
      <c r="A1104" s="41"/>
    </row>
    <row r="1105" spans="1:1" ht="15.75" x14ac:dyDescent="0.25">
      <c r="A1105" s="41"/>
    </row>
    <row r="1106" spans="1:1" ht="15.75" x14ac:dyDescent="0.25">
      <c r="A1106" s="41"/>
    </row>
    <row r="1107" spans="1:1" ht="15.75" x14ac:dyDescent="0.25">
      <c r="A1107" s="41"/>
    </row>
    <row r="1108" spans="1:1" ht="15.75" x14ac:dyDescent="0.25">
      <c r="A1108" s="41"/>
    </row>
    <row r="1109" spans="1:1" ht="15.75" x14ac:dyDescent="0.25">
      <c r="A1109" s="41"/>
    </row>
    <row r="1110" spans="1:1" ht="15.75" x14ac:dyDescent="0.25">
      <c r="A1110" s="41"/>
    </row>
    <row r="1111" spans="1:1" ht="15.75" x14ac:dyDescent="0.25">
      <c r="A1111" s="41"/>
    </row>
    <row r="1112" spans="1:1" ht="15.75" x14ac:dyDescent="0.25">
      <c r="A1112" s="41"/>
    </row>
    <row r="1113" spans="1:1" ht="15.75" x14ac:dyDescent="0.25">
      <c r="A1113" s="41"/>
    </row>
    <row r="1114" spans="1:1" ht="15.75" x14ac:dyDescent="0.25">
      <c r="A1114" s="41"/>
    </row>
    <row r="1115" spans="1:1" ht="15.75" x14ac:dyDescent="0.25">
      <c r="A1115" s="41"/>
    </row>
    <row r="1116" spans="1:1" ht="15.75" x14ac:dyDescent="0.25">
      <c r="A1116" s="41"/>
    </row>
    <row r="1117" spans="1:1" ht="15.75" x14ac:dyDescent="0.25">
      <c r="A1117" s="41"/>
    </row>
    <row r="1118" spans="1:1" ht="15.75" x14ac:dyDescent="0.25">
      <c r="A1118" s="41"/>
    </row>
    <row r="1119" spans="1:1" ht="15.75" x14ac:dyDescent="0.25">
      <c r="A1119" s="41"/>
    </row>
    <row r="1120" spans="1:1" ht="15.75" x14ac:dyDescent="0.25">
      <c r="A1120" s="41"/>
    </row>
    <row r="1121" spans="1:1" ht="15.75" x14ac:dyDescent="0.25">
      <c r="A1121" s="41"/>
    </row>
    <row r="1122" spans="1:1" ht="15.75" x14ac:dyDescent="0.25">
      <c r="A1122" s="41"/>
    </row>
    <row r="1123" spans="1:1" ht="15.75" x14ac:dyDescent="0.25">
      <c r="A1123" s="41"/>
    </row>
    <row r="1124" spans="1:1" ht="15.75" x14ac:dyDescent="0.25">
      <c r="A1124" s="41"/>
    </row>
    <row r="1125" spans="1:1" ht="15.75" x14ac:dyDescent="0.25">
      <c r="A1125" s="41"/>
    </row>
    <row r="1126" spans="1:1" ht="15.75" x14ac:dyDescent="0.25">
      <c r="A1126" s="41"/>
    </row>
    <row r="1127" spans="1:1" ht="15.75" x14ac:dyDescent="0.25">
      <c r="A1127" s="41"/>
    </row>
    <row r="1128" spans="1:1" ht="15.75" x14ac:dyDescent="0.25">
      <c r="A1128" s="41"/>
    </row>
    <row r="1129" spans="1:1" ht="15.75" x14ac:dyDescent="0.25">
      <c r="A1129" s="41"/>
    </row>
    <row r="1130" spans="1:1" ht="15.75" x14ac:dyDescent="0.25">
      <c r="A1130" s="41"/>
    </row>
    <row r="1131" spans="1:1" ht="15.75" x14ac:dyDescent="0.25">
      <c r="A1131" s="41"/>
    </row>
    <row r="1132" spans="1:1" ht="15.75" x14ac:dyDescent="0.25">
      <c r="A1132" s="41"/>
    </row>
    <row r="1133" spans="1:1" ht="15.75" x14ac:dyDescent="0.25">
      <c r="A1133" s="41"/>
    </row>
    <row r="1134" spans="1:1" ht="15.75" x14ac:dyDescent="0.25">
      <c r="A1134" s="41"/>
    </row>
    <row r="1135" spans="1:1" ht="15.75" x14ac:dyDescent="0.25">
      <c r="A1135" s="41"/>
    </row>
    <row r="1136" spans="1:1" ht="15.75" x14ac:dyDescent="0.25">
      <c r="A1136" s="41"/>
    </row>
    <row r="1137" spans="1:1" ht="15.75" x14ac:dyDescent="0.25">
      <c r="A1137" s="41"/>
    </row>
    <row r="1138" spans="1:1" ht="15.75" x14ac:dyDescent="0.25">
      <c r="A1138" s="41"/>
    </row>
    <row r="1139" spans="1:1" ht="15.75" x14ac:dyDescent="0.25">
      <c r="A1139" s="41"/>
    </row>
    <row r="1140" spans="1:1" ht="15.75" x14ac:dyDescent="0.25">
      <c r="A1140" s="41"/>
    </row>
    <row r="1141" spans="1:1" ht="15.75" x14ac:dyDescent="0.25">
      <c r="A1141" s="41"/>
    </row>
    <row r="1142" spans="1:1" ht="15.75" x14ac:dyDescent="0.25">
      <c r="A1142" s="41"/>
    </row>
    <row r="1143" spans="1:1" ht="15.75" x14ac:dyDescent="0.25">
      <c r="A1143" s="41"/>
    </row>
    <row r="1144" spans="1:1" ht="15.75" x14ac:dyDescent="0.25">
      <c r="A1144" s="41"/>
    </row>
    <row r="1145" spans="1:1" ht="15.75" x14ac:dyDescent="0.25">
      <c r="A1145" s="41"/>
    </row>
    <row r="1146" spans="1:1" ht="15.75" x14ac:dyDescent="0.25">
      <c r="A1146" s="41"/>
    </row>
    <row r="1147" spans="1:1" ht="15.75" x14ac:dyDescent="0.25">
      <c r="A1147" s="41"/>
    </row>
    <row r="1148" spans="1:1" ht="15.75" x14ac:dyDescent="0.25">
      <c r="A1148" s="41"/>
    </row>
    <row r="1149" spans="1:1" ht="15.75" x14ac:dyDescent="0.25">
      <c r="A1149" s="41"/>
    </row>
    <row r="1150" spans="1:1" ht="15.75" x14ac:dyDescent="0.25">
      <c r="A1150" s="41"/>
    </row>
    <row r="1151" spans="1:1" ht="15.75" x14ac:dyDescent="0.25">
      <c r="A1151" s="41"/>
    </row>
    <row r="1152" spans="1:1" ht="15.75" x14ac:dyDescent="0.25">
      <c r="A1152" s="41"/>
    </row>
    <row r="1153" spans="1:1" ht="15.75" x14ac:dyDescent="0.25">
      <c r="A1153" s="41"/>
    </row>
    <row r="1154" spans="1:1" ht="15.75" x14ac:dyDescent="0.25">
      <c r="A1154" s="41"/>
    </row>
    <row r="1155" spans="1:1" ht="15.75" x14ac:dyDescent="0.25">
      <c r="A1155" s="41"/>
    </row>
    <row r="1156" spans="1:1" ht="15.75" x14ac:dyDescent="0.25">
      <c r="A1156" s="41"/>
    </row>
    <row r="1157" spans="1:1" ht="15.75" x14ac:dyDescent="0.25">
      <c r="A1157" s="41"/>
    </row>
    <row r="1158" spans="1:1" ht="15.75" x14ac:dyDescent="0.25">
      <c r="A1158" s="41"/>
    </row>
    <row r="1159" spans="1:1" ht="15.75" x14ac:dyDescent="0.25">
      <c r="A1159" s="41"/>
    </row>
    <row r="1160" spans="1:1" ht="15.75" x14ac:dyDescent="0.25">
      <c r="A1160" s="41"/>
    </row>
    <row r="1161" spans="1:1" ht="15.75" x14ac:dyDescent="0.25">
      <c r="A1161" s="41"/>
    </row>
    <row r="1162" spans="1:1" ht="15.75" x14ac:dyDescent="0.25">
      <c r="A1162" s="41"/>
    </row>
    <row r="1163" spans="1:1" ht="15.75" x14ac:dyDescent="0.25">
      <c r="A1163" s="41"/>
    </row>
    <row r="1164" spans="1:1" ht="15.75" x14ac:dyDescent="0.25">
      <c r="A1164" s="41"/>
    </row>
    <row r="1165" spans="1:1" ht="15.75" x14ac:dyDescent="0.25">
      <c r="A1165" s="41"/>
    </row>
    <row r="1166" spans="1:1" ht="15.75" x14ac:dyDescent="0.25">
      <c r="A1166" s="41"/>
    </row>
    <row r="1167" spans="1:1" ht="15.75" x14ac:dyDescent="0.25">
      <c r="A1167" s="41"/>
    </row>
    <row r="1168" spans="1:1" ht="15.75" x14ac:dyDescent="0.25">
      <c r="A1168" s="41"/>
    </row>
    <row r="1169" spans="1:1" ht="15.75" x14ac:dyDescent="0.25">
      <c r="A1169" s="41"/>
    </row>
    <row r="1170" spans="1:1" ht="15.75" x14ac:dyDescent="0.25">
      <c r="A1170" s="41"/>
    </row>
    <row r="1171" spans="1:1" ht="15.75" x14ac:dyDescent="0.25">
      <c r="A1171" s="41"/>
    </row>
    <row r="1172" spans="1:1" ht="15.75" x14ac:dyDescent="0.25">
      <c r="A1172" s="41"/>
    </row>
    <row r="1173" spans="1:1" ht="15.75" x14ac:dyDescent="0.25">
      <c r="A1173" s="41"/>
    </row>
    <row r="1174" spans="1:1" ht="15.75" x14ac:dyDescent="0.25">
      <c r="A1174" s="41"/>
    </row>
    <row r="1175" spans="1:1" ht="15.75" x14ac:dyDescent="0.25">
      <c r="A1175" s="41"/>
    </row>
    <row r="1176" spans="1:1" ht="15.75" x14ac:dyDescent="0.25">
      <c r="A1176" s="41"/>
    </row>
    <row r="1177" spans="1:1" ht="15.75" x14ac:dyDescent="0.25">
      <c r="A1177" s="41"/>
    </row>
    <row r="1178" spans="1:1" ht="15.75" x14ac:dyDescent="0.25">
      <c r="A1178" s="41"/>
    </row>
    <row r="1179" spans="1:1" ht="15.75" x14ac:dyDescent="0.25">
      <c r="A1179" s="41"/>
    </row>
    <row r="1180" spans="1:1" ht="15.75" x14ac:dyDescent="0.25">
      <c r="A1180" s="41"/>
    </row>
    <row r="1181" spans="1:1" ht="15.75" x14ac:dyDescent="0.25">
      <c r="A1181" s="41"/>
    </row>
    <row r="1182" spans="1:1" ht="15.75" x14ac:dyDescent="0.25">
      <c r="A1182" s="41"/>
    </row>
    <row r="1183" spans="1:1" ht="15.75" x14ac:dyDescent="0.25">
      <c r="A1183" s="41"/>
    </row>
    <row r="1184" spans="1:1" ht="15.75" x14ac:dyDescent="0.25">
      <c r="A1184" s="41"/>
    </row>
    <row r="1185" spans="1:1" ht="15.75" x14ac:dyDescent="0.25">
      <c r="A1185" s="41"/>
    </row>
    <row r="1186" spans="1:1" ht="15.75" x14ac:dyDescent="0.25">
      <c r="A1186" s="41"/>
    </row>
    <row r="1187" spans="1:1" ht="15.75" x14ac:dyDescent="0.25">
      <c r="A1187" s="41"/>
    </row>
    <row r="1188" spans="1:1" ht="15.75" x14ac:dyDescent="0.25">
      <c r="A1188" s="41"/>
    </row>
    <row r="1189" spans="1:1" ht="15.75" x14ac:dyDescent="0.25">
      <c r="A1189" s="41"/>
    </row>
    <row r="1190" spans="1:1" ht="15.75" x14ac:dyDescent="0.25">
      <c r="A1190" s="41"/>
    </row>
    <row r="1191" spans="1:1" ht="15.75" x14ac:dyDescent="0.25">
      <c r="A1191" s="41"/>
    </row>
    <row r="1192" spans="1:1" ht="15.75" x14ac:dyDescent="0.25">
      <c r="A1192" s="41"/>
    </row>
    <row r="1193" spans="1:1" ht="15.75" x14ac:dyDescent="0.25">
      <c r="A1193" s="41"/>
    </row>
    <row r="1194" spans="1:1" ht="15.75" x14ac:dyDescent="0.25">
      <c r="A1194" s="41"/>
    </row>
    <row r="1195" spans="1:1" ht="15.75" x14ac:dyDescent="0.25">
      <c r="A1195" s="41"/>
    </row>
    <row r="1196" spans="1:1" ht="15.75" x14ac:dyDescent="0.25">
      <c r="A1196" s="41"/>
    </row>
    <row r="1197" spans="1:1" ht="15.75" x14ac:dyDescent="0.25">
      <c r="A1197" s="41"/>
    </row>
    <row r="1198" spans="1:1" ht="15.75" x14ac:dyDescent="0.25">
      <c r="A1198" s="41"/>
    </row>
    <row r="1199" spans="1:1" ht="15.75" x14ac:dyDescent="0.25">
      <c r="A1199" s="41"/>
    </row>
    <row r="1200" spans="1:1" ht="15.75" x14ac:dyDescent="0.25">
      <c r="A1200" s="41"/>
    </row>
    <row r="1201" spans="1:1" ht="15.75" x14ac:dyDescent="0.25">
      <c r="A1201" s="41"/>
    </row>
    <row r="1202" spans="1:1" ht="15.75" x14ac:dyDescent="0.25">
      <c r="A1202" s="41"/>
    </row>
    <row r="1203" spans="1:1" ht="15.75" x14ac:dyDescent="0.25">
      <c r="A1203" s="41"/>
    </row>
    <row r="1204" spans="1:1" ht="15.75" x14ac:dyDescent="0.25">
      <c r="A1204" s="41"/>
    </row>
    <row r="1205" spans="1:1" ht="15.75" x14ac:dyDescent="0.25">
      <c r="A1205" s="41"/>
    </row>
    <row r="1206" spans="1:1" ht="15.75" x14ac:dyDescent="0.25">
      <c r="A1206" s="41"/>
    </row>
    <row r="1207" spans="1:1" ht="15.75" x14ac:dyDescent="0.25">
      <c r="A1207" s="41"/>
    </row>
    <row r="1208" spans="1:1" ht="15.75" x14ac:dyDescent="0.25">
      <c r="A1208" s="41"/>
    </row>
    <row r="1209" spans="1:1" ht="15.75" x14ac:dyDescent="0.25">
      <c r="A1209" s="41"/>
    </row>
    <row r="1210" spans="1:1" ht="15.75" x14ac:dyDescent="0.25">
      <c r="A1210" s="41"/>
    </row>
    <row r="1211" spans="1:1" ht="15.75" x14ac:dyDescent="0.25">
      <c r="A1211" s="41"/>
    </row>
    <row r="1212" spans="1:1" ht="15.75" x14ac:dyDescent="0.25">
      <c r="A1212" s="41"/>
    </row>
    <row r="1213" spans="1:1" ht="15.75" x14ac:dyDescent="0.25">
      <c r="A1213" s="41"/>
    </row>
    <row r="1214" spans="1:1" ht="15.75" x14ac:dyDescent="0.25">
      <c r="A1214" s="41"/>
    </row>
    <row r="1215" spans="1:1" ht="15.75" x14ac:dyDescent="0.25">
      <c r="A1215" s="41"/>
    </row>
    <row r="1216" spans="1:1" ht="15.75" x14ac:dyDescent="0.25">
      <c r="A1216" s="41"/>
    </row>
    <row r="1217" spans="1:1" ht="15.75" x14ac:dyDescent="0.25">
      <c r="A1217" s="41"/>
    </row>
    <row r="1218" spans="1:1" ht="15.75" x14ac:dyDescent="0.25">
      <c r="A1218" s="41"/>
    </row>
    <row r="1219" spans="1:1" ht="15.75" x14ac:dyDescent="0.25">
      <c r="A1219" s="41"/>
    </row>
    <row r="1220" spans="1:1" ht="15.75" x14ac:dyDescent="0.25">
      <c r="A1220" s="41"/>
    </row>
    <row r="1221" spans="1:1" ht="15.75" x14ac:dyDescent="0.25">
      <c r="A1221" s="41"/>
    </row>
    <row r="1222" spans="1:1" ht="15.75" x14ac:dyDescent="0.25">
      <c r="A1222" s="41"/>
    </row>
    <row r="1223" spans="1:1" ht="15.75" x14ac:dyDescent="0.25">
      <c r="A1223" s="41"/>
    </row>
    <row r="1224" spans="1:1" ht="15.75" x14ac:dyDescent="0.25">
      <c r="A1224" s="41"/>
    </row>
    <row r="1225" spans="1:1" ht="15.75" x14ac:dyDescent="0.25">
      <c r="A1225" s="41"/>
    </row>
    <row r="1226" spans="1:1" ht="15.75" x14ac:dyDescent="0.25">
      <c r="A1226" s="41"/>
    </row>
    <row r="1227" spans="1:1" ht="15.75" x14ac:dyDescent="0.25">
      <c r="A1227" s="41"/>
    </row>
    <row r="1228" spans="1:1" ht="15.75" x14ac:dyDescent="0.25">
      <c r="A1228" s="41"/>
    </row>
    <row r="1229" spans="1:1" ht="15.75" x14ac:dyDescent="0.25">
      <c r="A1229" s="41"/>
    </row>
    <row r="1230" spans="1:1" ht="15.75" x14ac:dyDescent="0.25">
      <c r="A1230" s="41"/>
    </row>
    <row r="1231" spans="1:1" ht="15.75" x14ac:dyDescent="0.25">
      <c r="A1231" s="41"/>
    </row>
    <row r="1232" spans="1:1" ht="15.75" x14ac:dyDescent="0.25">
      <c r="A1232" s="41"/>
    </row>
    <row r="1233" spans="1:1" ht="15.75" x14ac:dyDescent="0.25">
      <c r="A1233" s="41"/>
    </row>
    <row r="1234" spans="1:1" ht="15.75" x14ac:dyDescent="0.25">
      <c r="A1234" s="41"/>
    </row>
    <row r="1235" spans="1:1" ht="15.75" x14ac:dyDescent="0.25">
      <c r="A1235" s="41"/>
    </row>
    <row r="1236" spans="1:1" ht="15.75" x14ac:dyDescent="0.25">
      <c r="A1236" s="41"/>
    </row>
    <row r="1237" spans="1:1" ht="15.75" x14ac:dyDescent="0.25">
      <c r="A1237" s="41"/>
    </row>
    <row r="1238" spans="1:1" ht="15.75" x14ac:dyDescent="0.25">
      <c r="A1238" s="41"/>
    </row>
    <row r="1239" spans="1:1" ht="15.75" x14ac:dyDescent="0.25">
      <c r="A1239" s="41"/>
    </row>
    <row r="1240" spans="1:1" ht="15.75" x14ac:dyDescent="0.25">
      <c r="A1240" s="41"/>
    </row>
    <row r="1241" spans="1:1" ht="15.75" x14ac:dyDescent="0.25">
      <c r="A1241" s="41"/>
    </row>
    <row r="1242" spans="1:1" ht="15.75" x14ac:dyDescent="0.25">
      <c r="A1242" s="41"/>
    </row>
    <row r="1243" spans="1:1" ht="15.75" x14ac:dyDescent="0.25">
      <c r="A1243" s="41"/>
    </row>
    <row r="1244" spans="1:1" ht="15.75" x14ac:dyDescent="0.25">
      <c r="A1244" s="41"/>
    </row>
    <row r="1245" spans="1:1" ht="15.75" x14ac:dyDescent="0.25">
      <c r="A1245" s="41"/>
    </row>
    <row r="1246" spans="1:1" ht="15.75" x14ac:dyDescent="0.25">
      <c r="A1246" s="41"/>
    </row>
    <row r="1247" spans="1:1" ht="15.75" x14ac:dyDescent="0.25">
      <c r="A1247" s="41"/>
    </row>
    <row r="1248" spans="1:1" ht="15.75" x14ac:dyDescent="0.25">
      <c r="A1248" s="41"/>
    </row>
    <row r="1249" spans="1:1" ht="15.75" x14ac:dyDescent="0.25">
      <c r="A1249" s="41"/>
    </row>
    <row r="1250" spans="1:1" ht="15.75" x14ac:dyDescent="0.25">
      <c r="A1250" s="41"/>
    </row>
    <row r="1251" spans="1:1" ht="15.75" x14ac:dyDescent="0.25">
      <c r="A1251" s="41"/>
    </row>
    <row r="1252" spans="1:1" ht="15.75" x14ac:dyDescent="0.25">
      <c r="A1252" s="41"/>
    </row>
    <row r="1253" spans="1:1" ht="15.75" x14ac:dyDescent="0.25">
      <c r="A1253" s="41"/>
    </row>
    <row r="1254" spans="1:1" ht="15.75" x14ac:dyDescent="0.25">
      <c r="A1254" s="41"/>
    </row>
    <row r="1255" spans="1:1" ht="15.75" x14ac:dyDescent="0.25">
      <c r="A1255" s="41"/>
    </row>
    <row r="1256" spans="1:1" ht="15.75" x14ac:dyDescent="0.25">
      <c r="A1256" s="41"/>
    </row>
    <row r="1257" spans="1:1" ht="15.75" x14ac:dyDescent="0.25">
      <c r="A1257" s="41"/>
    </row>
    <row r="1258" spans="1:1" ht="15.75" x14ac:dyDescent="0.25">
      <c r="A1258" s="41"/>
    </row>
    <row r="1259" spans="1:1" ht="15.75" x14ac:dyDescent="0.25">
      <c r="A1259" s="41"/>
    </row>
    <row r="1260" spans="1:1" ht="15.75" x14ac:dyDescent="0.25">
      <c r="A1260" s="41"/>
    </row>
    <row r="1261" spans="1:1" ht="15.75" x14ac:dyDescent="0.25">
      <c r="A1261" s="41"/>
    </row>
    <row r="1262" spans="1:1" ht="15.75" x14ac:dyDescent="0.25">
      <c r="A1262" s="41"/>
    </row>
    <row r="1263" spans="1:1" ht="15.75" x14ac:dyDescent="0.25">
      <c r="A1263" s="41"/>
    </row>
    <row r="1264" spans="1:1" ht="15.75" x14ac:dyDescent="0.25">
      <c r="A1264" s="41"/>
    </row>
    <row r="1265" spans="1:1" ht="15.75" x14ac:dyDescent="0.25">
      <c r="A1265" s="41"/>
    </row>
    <row r="1266" spans="1:1" ht="15.75" x14ac:dyDescent="0.25">
      <c r="A1266" s="41"/>
    </row>
    <row r="1267" spans="1:1" ht="15.75" x14ac:dyDescent="0.25">
      <c r="A1267" s="41"/>
    </row>
    <row r="1268" spans="1:1" ht="15.75" x14ac:dyDescent="0.25">
      <c r="A1268" s="41"/>
    </row>
    <row r="1269" spans="1:1" ht="15.75" x14ac:dyDescent="0.25">
      <c r="A1269" s="41"/>
    </row>
    <row r="1270" spans="1:1" ht="15.75" x14ac:dyDescent="0.25">
      <c r="A1270" s="41"/>
    </row>
    <row r="1271" spans="1:1" ht="15.75" x14ac:dyDescent="0.25">
      <c r="A1271" s="41"/>
    </row>
    <row r="1272" spans="1:1" ht="15.75" x14ac:dyDescent="0.25">
      <c r="A1272" s="41"/>
    </row>
    <row r="1273" spans="1:1" ht="15.75" x14ac:dyDescent="0.25">
      <c r="A1273" s="41"/>
    </row>
    <row r="1274" spans="1:1" ht="15.75" x14ac:dyDescent="0.25">
      <c r="A1274" s="41"/>
    </row>
    <row r="1275" spans="1:1" ht="15.75" x14ac:dyDescent="0.25">
      <c r="A1275" s="41"/>
    </row>
    <row r="1276" spans="1:1" ht="15.75" x14ac:dyDescent="0.25">
      <c r="A1276" s="41"/>
    </row>
    <row r="1277" spans="1:1" ht="15.75" x14ac:dyDescent="0.25">
      <c r="A1277" s="41"/>
    </row>
    <row r="1278" spans="1:1" ht="15.75" x14ac:dyDescent="0.25">
      <c r="A1278" s="41"/>
    </row>
    <row r="1279" spans="1:1" ht="15.75" x14ac:dyDescent="0.25">
      <c r="A1279" s="41"/>
    </row>
    <row r="1280" spans="1:1" ht="15.75" x14ac:dyDescent="0.25">
      <c r="A1280" s="41"/>
    </row>
    <row r="1281" spans="1:1" ht="15.75" x14ac:dyDescent="0.25">
      <c r="A1281" s="41"/>
    </row>
    <row r="1282" spans="1:1" ht="15.75" x14ac:dyDescent="0.25">
      <c r="A1282" s="41"/>
    </row>
    <row r="1283" spans="1:1" ht="15.75" x14ac:dyDescent="0.25">
      <c r="A1283" s="41"/>
    </row>
    <row r="1284" spans="1:1" ht="15.75" x14ac:dyDescent="0.25">
      <c r="A1284" s="41"/>
    </row>
    <row r="1285" spans="1:1" ht="15.75" x14ac:dyDescent="0.25">
      <c r="A1285" s="41"/>
    </row>
    <row r="1286" spans="1:1" ht="15.75" x14ac:dyDescent="0.25">
      <c r="A1286" s="41"/>
    </row>
    <row r="1287" spans="1:1" ht="15.75" x14ac:dyDescent="0.25">
      <c r="A1287" s="41"/>
    </row>
    <row r="1288" spans="1:1" ht="15.75" x14ac:dyDescent="0.25">
      <c r="A1288" s="41"/>
    </row>
    <row r="1289" spans="1:1" ht="15.75" x14ac:dyDescent="0.25">
      <c r="A1289" s="41"/>
    </row>
    <row r="1290" spans="1:1" ht="15.75" x14ac:dyDescent="0.25">
      <c r="A1290" s="41"/>
    </row>
    <row r="1291" spans="1:1" ht="15.75" x14ac:dyDescent="0.25">
      <c r="A1291" s="41"/>
    </row>
    <row r="1292" spans="1:1" ht="15.75" x14ac:dyDescent="0.25">
      <c r="A1292" s="41"/>
    </row>
    <row r="1293" spans="1:1" ht="15.75" x14ac:dyDescent="0.25">
      <c r="A1293" s="41"/>
    </row>
    <row r="1294" spans="1:1" ht="15.75" x14ac:dyDescent="0.25">
      <c r="A1294" s="41"/>
    </row>
    <row r="1295" spans="1:1" ht="15.75" x14ac:dyDescent="0.25">
      <c r="A1295" s="41"/>
    </row>
    <row r="1296" spans="1:1" ht="15.75" x14ac:dyDescent="0.25">
      <c r="A1296" s="41"/>
    </row>
    <row r="1297" spans="1:1" ht="15.75" x14ac:dyDescent="0.25">
      <c r="A1297" s="41"/>
    </row>
    <row r="1298" spans="1:1" ht="15.75" x14ac:dyDescent="0.25">
      <c r="A1298" s="41"/>
    </row>
    <row r="1299" spans="1:1" ht="15.75" x14ac:dyDescent="0.25">
      <c r="A1299" s="41"/>
    </row>
    <row r="1300" spans="1:1" ht="15.75" x14ac:dyDescent="0.25">
      <c r="A1300" s="41"/>
    </row>
    <row r="1301" spans="1:1" ht="15.75" x14ac:dyDescent="0.25">
      <c r="A1301" s="41"/>
    </row>
    <row r="1302" spans="1:1" ht="15.75" x14ac:dyDescent="0.25">
      <c r="A1302" s="41"/>
    </row>
    <row r="1303" spans="1:1" ht="15.75" x14ac:dyDescent="0.25">
      <c r="A1303" s="41"/>
    </row>
    <row r="1304" spans="1:1" ht="15.75" x14ac:dyDescent="0.25">
      <c r="A1304" s="41"/>
    </row>
    <row r="1305" spans="1:1" ht="15.75" x14ac:dyDescent="0.25">
      <c r="A1305" s="41"/>
    </row>
    <row r="1306" spans="1:1" ht="15.75" x14ac:dyDescent="0.25">
      <c r="A1306" s="41"/>
    </row>
    <row r="1307" spans="1:1" ht="15.75" x14ac:dyDescent="0.25">
      <c r="A1307" s="41"/>
    </row>
    <row r="1308" spans="1:1" ht="15.75" x14ac:dyDescent="0.25">
      <c r="A1308" s="41"/>
    </row>
    <row r="1309" spans="1:1" ht="15.75" x14ac:dyDescent="0.25">
      <c r="A1309" s="41"/>
    </row>
    <row r="1310" spans="1:1" ht="15.75" x14ac:dyDescent="0.25">
      <c r="A1310" s="41"/>
    </row>
    <row r="1311" spans="1:1" ht="15.75" x14ac:dyDescent="0.25">
      <c r="A1311" s="41"/>
    </row>
    <row r="1312" spans="1:1" ht="15.75" x14ac:dyDescent="0.25">
      <c r="A1312" s="41"/>
    </row>
    <row r="1313" spans="1:1" ht="15.75" x14ac:dyDescent="0.25">
      <c r="A1313" s="41"/>
    </row>
    <row r="1314" spans="1:1" ht="15.75" x14ac:dyDescent="0.25">
      <c r="A1314" s="41"/>
    </row>
    <row r="1315" spans="1:1" ht="15.75" x14ac:dyDescent="0.25">
      <c r="A1315" s="41"/>
    </row>
    <row r="1316" spans="1:1" ht="15.75" x14ac:dyDescent="0.25">
      <c r="A1316" s="41"/>
    </row>
    <row r="1317" spans="1:1" ht="15.75" x14ac:dyDescent="0.25">
      <c r="A1317" s="41"/>
    </row>
    <row r="1318" spans="1:1" ht="15.75" x14ac:dyDescent="0.25">
      <c r="A1318" s="41"/>
    </row>
    <row r="1319" spans="1:1" ht="15.75" x14ac:dyDescent="0.25">
      <c r="A1319" s="41"/>
    </row>
    <row r="1320" spans="1:1" ht="15.75" x14ac:dyDescent="0.25">
      <c r="A1320" s="41"/>
    </row>
    <row r="1321" spans="1:1" ht="15.75" x14ac:dyDescent="0.25">
      <c r="A1321" s="41"/>
    </row>
    <row r="1322" spans="1:1" ht="15.75" x14ac:dyDescent="0.25">
      <c r="A1322" s="41"/>
    </row>
    <row r="1323" spans="1:1" ht="15.75" x14ac:dyDescent="0.25">
      <c r="A1323" s="41"/>
    </row>
    <row r="1324" spans="1:1" ht="15.75" x14ac:dyDescent="0.25">
      <c r="A1324" s="41"/>
    </row>
    <row r="1325" spans="1:1" ht="15.75" x14ac:dyDescent="0.25">
      <c r="A1325" s="41"/>
    </row>
    <row r="1326" spans="1:1" ht="15.75" x14ac:dyDescent="0.25">
      <c r="A1326" s="41"/>
    </row>
    <row r="1327" spans="1:1" ht="15.75" x14ac:dyDescent="0.25">
      <c r="A1327" s="41"/>
    </row>
    <row r="1328" spans="1:1" ht="15.75" x14ac:dyDescent="0.25">
      <c r="A1328" s="41"/>
    </row>
    <row r="1329" spans="1:1" ht="15.75" x14ac:dyDescent="0.25">
      <c r="A1329" s="41"/>
    </row>
    <row r="1330" spans="1:1" ht="15.75" x14ac:dyDescent="0.25">
      <c r="A1330" s="41"/>
    </row>
    <row r="1331" spans="1:1" ht="15.75" x14ac:dyDescent="0.25">
      <c r="A1331" s="41"/>
    </row>
    <row r="1332" spans="1:1" ht="15.75" x14ac:dyDescent="0.25">
      <c r="A1332" s="41"/>
    </row>
    <row r="1333" spans="1:1" ht="15.75" x14ac:dyDescent="0.25">
      <c r="A1333" s="41"/>
    </row>
    <row r="1334" spans="1:1" ht="15.75" x14ac:dyDescent="0.25">
      <c r="A1334" s="41"/>
    </row>
    <row r="1335" spans="1:1" ht="15.75" x14ac:dyDescent="0.25">
      <c r="A1335" s="41"/>
    </row>
    <row r="1336" spans="1:1" ht="15.75" x14ac:dyDescent="0.25">
      <c r="A1336" s="41"/>
    </row>
    <row r="1337" spans="1:1" ht="15.75" x14ac:dyDescent="0.25">
      <c r="A1337" s="41"/>
    </row>
    <row r="1338" spans="1:1" ht="15.75" x14ac:dyDescent="0.25">
      <c r="A1338" s="41"/>
    </row>
    <row r="1339" spans="1:1" ht="15.75" x14ac:dyDescent="0.25">
      <c r="A1339" s="41"/>
    </row>
    <row r="1340" spans="1:1" ht="15.75" x14ac:dyDescent="0.25">
      <c r="A1340" s="41"/>
    </row>
    <row r="1341" spans="1:1" ht="15.75" x14ac:dyDescent="0.25">
      <c r="A1341" s="41"/>
    </row>
    <row r="1342" spans="1:1" ht="15.75" x14ac:dyDescent="0.25">
      <c r="A1342" s="41"/>
    </row>
    <row r="1343" spans="1:1" ht="15.75" x14ac:dyDescent="0.25">
      <c r="A1343" s="41"/>
    </row>
    <row r="1344" spans="1:1" ht="15.75" x14ac:dyDescent="0.25">
      <c r="A1344" s="41"/>
    </row>
    <row r="1345" spans="1:1" ht="15.75" x14ac:dyDescent="0.25">
      <c r="A1345" s="41"/>
    </row>
    <row r="1346" spans="1:1" ht="15.75" x14ac:dyDescent="0.25">
      <c r="A1346" s="41"/>
    </row>
    <row r="1347" spans="1:1" ht="15.75" x14ac:dyDescent="0.25">
      <c r="A1347" s="41"/>
    </row>
    <row r="1348" spans="1:1" ht="15.75" x14ac:dyDescent="0.25">
      <c r="A1348" s="41"/>
    </row>
    <row r="1349" spans="1:1" ht="15.75" x14ac:dyDescent="0.25">
      <c r="A1349" s="41"/>
    </row>
    <row r="1350" spans="1:1" ht="15.75" x14ac:dyDescent="0.25">
      <c r="A1350" s="41"/>
    </row>
    <row r="1351" spans="1:1" ht="15.75" x14ac:dyDescent="0.25">
      <c r="A1351" s="41"/>
    </row>
    <row r="1352" spans="1:1" ht="15.75" x14ac:dyDescent="0.25">
      <c r="A1352" s="41"/>
    </row>
    <row r="1353" spans="1:1" ht="15.75" x14ac:dyDescent="0.25">
      <c r="A1353" s="41"/>
    </row>
    <row r="1354" spans="1:1" ht="15.75" x14ac:dyDescent="0.25">
      <c r="A1354" s="41"/>
    </row>
    <row r="1355" spans="1:1" ht="15.75" x14ac:dyDescent="0.25">
      <c r="A1355" s="41"/>
    </row>
    <row r="1356" spans="1:1" ht="15.75" x14ac:dyDescent="0.25">
      <c r="A1356" s="41"/>
    </row>
    <row r="1357" spans="1:1" ht="15.75" x14ac:dyDescent="0.25">
      <c r="A1357" s="41"/>
    </row>
    <row r="1358" spans="1:1" ht="15.75" x14ac:dyDescent="0.25">
      <c r="A1358" s="41"/>
    </row>
    <row r="1359" spans="1:1" ht="15.75" x14ac:dyDescent="0.25">
      <c r="A1359" s="41"/>
    </row>
    <row r="1360" spans="1:1" ht="15.75" x14ac:dyDescent="0.25">
      <c r="A1360" s="41"/>
    </row>
    <row r="1361" spans="1:1" ht="15.75" x14ac:dyDescent="0.25">
      <c r="A1361" s="41"/>
    </row>
    <row r="1362" spans="1:1" ht="15.75" x14ac:dyDescent="0.25">
      <c r="A1362" s="41"/>
    </row>
    <row r="1363" spans="1:1" ht="15.75" x14ac:dyDescent="0.25">
      <c r="A1363" s="41"/>
    </row>
    <row r="1364" spans="1:1" ht="15.75" x14ac:dyDescent="0.25">
      <c r="A1364" s="41"/>
    </row>
    <row r="1365" spans="1:1" ht="15.75" x14ac:dyDescent="0.25">
      <c r="A1365" s="41"/>
    </row>
    <row r="1366" spans="1:1" ht="15.75" x14ac:dyDescent="0.25">
      <c r="A1366" s="41"/>
    </row>
    <row r="1367" spans="1:1" ht="15.75" x14ac:dyDescent="0.25">
      <c r="A1367" s="41"/>
    </row>
    <row r="1368" spans="1:1" ht="15.75" x14ac:dyDescent="0.25">
      <c r="A1368" s="41"/>
    </row>
    <row r="1369" spans="1:1" ht="15.75" x14ac:dyDescent="0.25">
      <c r="A1369" s="41"/>
    </row>
    <row r="1370" spans="1:1" ht="15.75" x14ac:dyDescent="0.25">
      <c r="A1370" s="41"/>
    </row>
    <row r="1371" spans="1:1" ht="15.75" x14ac:dyDescent="0.25">
      <c r="A1371" s="41"/>
    </row>
    <row r="1372" spans="1:1" ht="15.75" x14ac:dyDescent="0.25">
      <c r="A1372" s="41"/>
    </row>
    <row r="1373" spans="1:1" ht="15.75" x14ac:dyDescent="0.25">
      <c r="A1373" s="41"/>
    </row>
    <row r="1374" spans="1:1" ht="15.75" x14ac:dyDescent="0.25">
      <c r="A1374" s="41"/>
    </row>
    <row r="1375" spans="1:1" ht="15.75" x14ac:dyDescent="0.25">
      <c r="A1375" s="41"/>
    </row>
    <row r="1376" spans="1:1" ht="15.75" x14ac:dyDescent="0.25">
      <c r="A1376" s="41"/>
    </row>
    <row r="1377" spans="1:1" ht="15.75" x14ac:dyDescent="0.25">
      <c r="A1377" s="41"/>
    </row>
    <row r="1378" spans="1:1" ht="15.75" x14ac:dyDescent="0.25">
      <c r="A1378" s="41"/>
    </row>
    <row r="1379" spans="1:1" ht="15.75" x14ac:dyDescent="0.25">
      <c r="A1379" s="41"/>
    </row>
    <row r="1380" spans="1:1" ht="15.75" x14ac:dyDescent="0.25">
      <c r="A1380" s="41"/>
    </row>
    <row r="1381" spans="1:1" ht="15.75" x14ac:dyDescent="0.25">
      <c r="A1381" s="41"/>
    </row>
    <row r="1382" spans="1:1" ht="15.75" x14ac:dyDescent="0.25">
      <c r="A1382" s="41"/>
    </row>
    <row r="1383" spans="1:1" ht="15.75" x14ac:dyDescent="0.25">
      <c r="A1383" s="41"/>
    </row>
    <row r="1384" spans="1:1" ht="15.75" x14ac:dyDescent="0.25">
      <c r="A1384" s="41"/>
    </row>
    <row r="1385" spans="1:1" ht="15.75" x14ac:dyDescent="0.25">
      <c r="A1385" s="41"/>
    </row>
    <row r="1386" spans="1:1" ht="15.75" x14ac:dyDescent="0.25">
      <c r="A1386" s="41"/>
    </row>
    <row r="1387" spans="1:1" ht="15.75" x14ac:dyDescent="0.25">
      <c r="A1387" s="41"/>
    </row>
    <row r="1388" spans="1:1" ht="15.75" x14ac:dyDescent="0.25">
      <c r="A1388" s="41"/>
    </row>
    <row r="1389" spans="1:1" ht="15.75" x14ac:dyDescent="0.25">
      <c r="A1389" s="41"/>
    </row>
    <row r="1390" spans="1:1" ht="15.75" x14ac:dyDescent="0.25">
      <c r="A1390" s="41"/>
    </row>
    <row r="1391" spans="1:1" ht="15.75" x14ac:dyDescent="0.25">
      <c r="A1391" s="41"/>
    </row>
    <row r="1392" spans="1:1" ht="15.75" x14ac:dyDescent="0.25">
      <c r="A1392" s="41"/>
    </row>
    <row r="1393" spans="1:1" ht="15.75" x14ac:dyDescent="0.25">
      <c r="A1393" s="41"/>
    </row>
    <row r="1394" spans="1:1" ht="15.75" x14ac:dyDescent="0.25">
      <c r="A1394" s="41"/>
    </row>
    <row r="1395" spans="1:1" ht="15.75" x14ac:dyDescent="0.25">
      <c r="A1395" s="41"/>
    </row>
    <row r="1396" spans="1:1" ht="15.75" x14ac:dyDescent="0.25">
      <c r="A1396" s="41"/>
    </row>
    <row r="1397" spans="1:1" ht="15.75" x14ac:dyDescent="0.25">
      <c r="A1397" s="41"/>
    </row>
    <row r="1398" spans="1:1" ht="15.75" x14ac:dyDescent="0.25">
      <c r="A1398" s="41"/>
    </row>
    <row r="1399" spans="1:1" ht="15.75" x14ac:dyDescent="0.25">
      <c r="A1399" s="41"/>
    </row>
    <row r="1400" spans="1:1" ht="15.75" x14ac:dyDescent="0.25">
      <c r="A1400" s="41"/>
    </row>
    <row r="1401" spans="1:1" ht="15.75" x14ac:dyDescent="0.25">
      <c r="A1401" s="41"/>
    </row>
    <row r="1402" spans="1:1" ht="15.75" x14ac:dyDescent="0.25">
      <c r="A1402" s="41"/>
    </row>
    <row r="1403" spans="1:1" ht="15.75" x14ac:dyDescent="0.25">
      <c r="A1403" s="41"/>
    </row>
    <row r="1404" spans="1:1" ht="15.75" x14ac:dyDescent="0.25">
      <c r="A1404" s="41"/>
    </row>
    <row r="1405" spans="1:1" ht="15.75" x14ac:dyDescent="0.25">
      <c r="A1405" s="41"/>
    </row>
    <row r="1406" spans="1:1" ht="15.75" x14ac:dyDescent="0.25">
      <c r="A1406" s="41"/>
    </row>
    <row r="1407" spans="1:1" ht="15.75" x14ac:dyDescent="0.25">
      <c r="A1407" s="41"/>
    </row>
    <row r="1408" spans="1:1" ht="15.75" x14ac:dyDescent="0.25">
      <c r="A1408" s="41"/>
    </row>
    <row r="1409" spans="1:1" ht="15.75" x14ac:dyDescent="0.25">
      <c r="A1409" s="41"/>
    </row>
    <row r="1410" spans="1:1" ht="15.75" x14ac:dyDescent="0.25">
      <c r="A1410" s="41"/>
    </row>
    <row r="1411" spans="1:1" ht="15.75" x14ac:dyDescent="0.25">
      <c r="A1411" s="41"/>
    </row>
    <row r="1412" spans="1:1" ht="15.75" x14ac:dyDescent="0.25">
      <c r="A1412" s="41"/>
    </row>
    <row r="1413" spans="1:1" ht="15.75" x14ac:dyDescent="0.25">
      <c r="A1413" s="41"/>
    </row>
    <row r="1414" spans="1:1" ht="15.75" x14ac:dyDescent="0.25">
      <c r="A1414" s="41"/>
    </row>
    <row r="1415" spans="1:1" ht="15.75" x14ac:dyDescent="0.25">
      <c r="A1415" s="41"/>
    </row>
    <row r="1416" spans="1:1" ht="15.75" x14ac:dyDescent="0.25">
      <c r="A1416" s="41"/>
    </row>
    <row r="1417" spans="1:1" ht="15.75" x14ac:dyDescent="0.25">
      <c r="A1417" s="41"/>
    </row>
    <row r="1418" spans="1:1" ht="15.75" x14ac:dyDescent="0.25">
      <c r="A1418" s="41"/>
    </row>
    <row r="1419" spans="1:1" ht="15.75" x14ac:dyDescent="0.25">
      <c r="A1419" s="41"/>
    </row>
    <row r="1420" spans="1:1" ht="15.75" x14ac:dyDescent="0.25">
      <c r="A1420" s="41"/>
    </row>
    <row r="1421" spans="1:1" ht="15.75" x14ac:dyDescent="0.25">
      <c r="A1421" s="41"/>
    </row>
    <row r="1422" spans="1:1" ht="15.75" x14ac:dyDescent="0.25">
      <c r="A1422" s="41"/>
    </row>
    <row r="1423" spans="1:1" ht="15.75" x14ac:dyDescent="0.25">
      <c r="A1423" s="41"/>
    </row>
    <row r="1424" spans="1:1" ht="15.75" x14ac:dyDescent="0.25">
      <c r="A1424" s="41"/>
    </row>
    <row r="1425" spans="1:1" ht="15.75" x14ac:dyDescent="0.25">
      <c r="A1425" s="41"/>
    </row>
    <row r="1426" spans="1:1" ht="15.75" x14ac:dyDescent="0.25">
      <c r="A1426" s="41"/>
    </row>
    <row r="1427" spans="1:1" ht="15.75" x14ac:dyDescent="0.25">
      <c r="A1427" s="41"/>
    </row>
    <row r="1428" spans="1:1" ht="15.75" x14ac:dyDescent="0.25">
      <c r="A1428" s="41"/>
    </row>
    <row r="1429" spans="1:1" ht="15.75" x14ac:dyDescent="0.25">
      <c r="A1429" s="41"/>
    </row>
    <row r="1430" spans="1:1" ht="15.75" x14ac:dyDescent="0.25">
      <c r="A1430" s="41"/>
    </row>
    <row r="1431" spans="1:1" ht="15.75" x14ac:dyDescent="0.25">
      <c r="A1431" s="41"/>
    </row>
    <row r="1432" spans="1:1" ht="15.75" x14ac:dyDescent="0.25">
      <c r="A1432" s="41"/>
    </row>
    <row r="1433" spans="1:1" ht="15.75" x14ac:dyDescent="0.25">
      <c r="A1433" s="41"/>
    </row>
    <row r="1434" spans="1:1" ht="15.75" x14ac:dyDescent="0.25">
      <c r="A1434" s="41"/>
    </row>
    <row r="1435" spans="1:1" ht="15.75" x14ac:dyDescent="0.25">
      <c r="A1435" s="41"/>
    </row>
    <row r="1436" spans="1:1" ht="15.75" x14ac:dyDescent="0.25">
      <c r="A1436" s="41"/>
    </row>
    <row r="1437" spans="1:1" ht="15.75" x14ac:dyDescent="0.25">
      <c r="A1437" s="41"/>
    </row>
    <row r="1438" spans="1:1" ht="15.75" x14ac:dyDescent="0.25">
      <c r="A1438" s="41"/>
    </row>
    <row r="1439" spans="1:1" ht="15.75" x14ac:dyDescent="0.25">
      <c r="A1439" s="41"/>
    </row>
    <row r="1440" spans="1:1" ht="15.75" x14ac:dyDescent="0.25">
      <c r="A1440" s="41"/>
    </row>
    <row r="1441" spans="1:1" ht="15.75" x14ac:dyDescent="0.25">
      <c r="A1441" s="41"/>
    </row>
    <row r="1442" spans="1:1" ht="15.75" x14ac:dyDescent="0.25">
      <c r="A1442" s="41"/>
    </row>
    <row r="1443" spans="1:1" ht="15.75" x14ac:dyDescent="0.25">
      <c r="A1443" s="41"/>
    </row>
    <row r="1444" spans="1:1" ht="15.75" x14ac:dyDescent="0.25">
      <c r="A1444" s="41"/>
    </row>
    <row r="1445" spans="1:1" ht="15.75" x14ac:dyDescent="0.25">
      <c r="A1445" s="41"/>
    </row>
    <row r="1446" spans="1:1" ht="15.75" x14ac:dyDescent="0.25">
      <c r="A1446" s="41"/>
    </row>
    <row r="1447" spans="1:1" ht="15.75" x14ac:dyDescent="0.25">
      <c r="A1447" s="41"/>
    </row>
    <row r="1448" spans="1:1" ht="15.75" x14ac:dyDescent="0.25">
      <c r="A1448" s="41"/>
    </row>
    <row r="1449" spans="1:1" ht="15.75" x14ac:dyDescent="0.25">
      <c r="A1449" s="41"/>
    </row>
    <row r="1450" spans="1:1" ht="15.75" x14ac:dyDescent="0.25">
      <c r="A1450" s="41"/>
    </row>
    <row r="1451" spans="1:1" ht="15.75" x14ac:dyDescent="0.25">
      <c r="A1451" s="41"/>
    </row>
    <row r="1452" spans="1:1" ht="15.75" x14ac:dyDescent="0.25">
      <c r="A1452" s="41"/>
    </row>
    <row r="1453" spans="1:1" ht="15.75" x14ac:dyDescent="0.25">
      <c r="A1453" s="41"/>
    </row>
    <row r="1454" spans="1:1" ht="15.75" x14ac:dyDescent="0.25">
      <c r="A1454" s="41"/>
    </row>
    <row r="1455" spans="1:1" ht="15.75" x14ac:dyDescent="0.25">
      <c r="A1455" s="41"/>
    </row>
    <row r="1456" spans="1:1" ht="15.75" x14ac:dyDescent="0.25">
      <c r="A1456" s="41"/>
    </row>
    <row r="1457" spans="1:1" ht="15.75" x14ac:dyDescent="0.25">
      <c r="A1457" s="41"/>
    </row>
    <row r="1458" spans="1:1" ht="15.75" x14ac:dyDescent="0.25">
      <c r="A1458" s="41"/>
    </row>
    <row r="1459" spans="1:1" ht="15.75" x14ac:dyDescent="0.25">
      <c r="A1459" s="41"/>
    </row>
    <row r="1460" spans="1:1" ht="15.75" x14ac:dyDescent="0.25">
      <c r="A1460" s="41"/>
    </row>
    <row r="1461" spans="1:1" ht="15.75" x14ac:dyDescent="0.25">
      <c r="A1461" s="41"/>
    </row>
    <row r="1462" spans="1:1" ht="15.75" x14ac:dyDescent="0.25">
      <c r="A1462" s="41"/>
    </row>
    <row r="1463" spans="1:1" ht="15.75" x14ac:dyDescent="0.25">
      <c r="A1463" s="41"/>
    </row>
    <row r="1464" spans="1:1" ht="15.75" x14ac:dyDescent="0.25">
      <c r="A1464" s="41"/>
    </row>
    <row r="1465" spans="1:1" ht="15.75" x14ac:dyDescent="0.25">
      <c r="A1465" s="41"/>
    </row>
    <row r="1466" spans="1:1" ht="15.75" x14ac:dyDescent="0.25">
      <c r="A1466" s="41"/>
    </row>
    <row r="1467" spans="1:1" ht="15.75" x14ac:dyDescent="0.25">
      <c r="A1467" s="41"/>
    </row>
    <row r="1468" spans="1:1" ht="15.75" x14ac:dyDescent="0.25">
      <c r="A1468" s="41"/>
    </row>
    <row r="1469" spans="1:1" ht="15.75" x14ac:dyDescent="0.25">
      <c r="A1469" s="41"/>
    </row>
    <row r="1470" spans="1:1" ht="15.75" x14ac:dyDescent="0.25">
      <c r="A1470" s="41"/>
    </row>
    <row r="1471" spans="1:1" ht="15.75" x14ac:dyDescent="0.25">
      <c r="A1471" s="41"/>
    </row>
    <row r="1472" spans="1:1" ht="15.75" x14ac:dyDescent="0.25">
      <c r="A1472" s="41"/>
    </row>
    <row r="1473" spans="1:1" ht="15.75" x14ac:dyDescent="0.25">
      <c r="A1473" s="41"/>
    </row>
    <row r="1474" spans="1:1" ht="15.75" x14ac:dyDescent="0.25">
      <c r="A1474" s="41"/>
    </row>
    <row r="1475" spans="1:1" ht="15.75" x14ac:dyDescent="0.25">
      <c r="A1475" s="41"/>
    </row>
    <row r="1476" spans="1:1" ht="15.75" x14ac:dyDescent="0.25">
      <c r="A1476" s="41"/>
    </row>
    <row r="1477" spans="1:1" ht="15.75" x14ac:dyDescent="0.25">
      <c r="A1477" s="41"/>
    </row>
    <row r="1478" spans="1:1" ht="15.75" x14ac:dyDescent="0.25">
      <c r="A1478" s="41"/>
    </row>
    <row r="1479" spans="1:1" ht="15.75" x14ac:dyDescent="0.25">
      <c r="A1479" s="41"/>
    </row>
    <row r="1480" spans="1:1" ht="15.75" x14ac:dyDescent="0.25">
      <c r="A1480" s="41"/>
    </row>
    <row r="1481" spans="1:1" ht="15.75" x14ac:dyDescent="0.25">
      <c r="A1481" s="41"/>
    </row>
    <row r="1482" spans="1:1" ht="15.75" x14ac:dyDescent="0.25">
      <c r="A1482" s="41"/>
    </row>
    <row r="1483" spans="1:1" ht="15.75" x14ac:dyDescent="0.25">
      <c r="A1483" s="41"/>
    </row>
    <row r="1484" spans="1:1" ht="15.75" x14ac:dyDescent="0.25">
      <c r="A1484" s="41"/>
    </row>
    <row r="1485" spans="1:1" ht="15.75" x14ac:dyDescent="0.25">
      <c r="A1485" s="41"/>
    </row>
    <row r="1486" spans="1:1" ht="15.75" x14ac:dyDescent="0.25">
      <c r="A1486" s="41"/>
    </row>
    <row r="1487" spans="1:1" ht="15.75" x14ac:dyDescent="0.25">
      <c r="A1487" s="41"/>
    </row>
    <row r="1488" spans="1:1" ht="15.75" x14ac:dyDescent="0.25">
      <c r="A1488" s="41"/>
    </row>
    <row r="1489" spans="1:1" ht="15.75" x14ac:dyDescent="0.25">
      <c r="A1489" s="41"/>
    </row>
    <row r="1490" spans="1:1" ht="15.75" x14ac:dyDescent="0.25">
      <c r="A1490" s="41"/>
    </row>
    <row r="1491" spans="1:1" ht="15.75" x14ac:dyDescent="0.25">
      <c r="A1491" s="41"/>
    </row>
    <row r="1492" spans="1:1" ht="15.75" x14ac:dyDescent="0.25">
      <c r="A1492" s="41"/>
    </row>
    <row r="1493" spans="1:1" ht="15.75" x14ac:dyDescent="0.25">
      <c r="A1493" s="41"/>
    </row>
    <row r="1494" spans="1:1" ht="15.75" x14ac:dyDescent="0.25">
      <c r="A1494" s="41"/>
    </row>
    <row r="1495" spans="1:1" ht="15.75" x14ac:dyDescent="0.25">
      <c r="A1495" s="41"/>
    </row>
    <row r="1496" spans="1:1" ht="15.75" x14ac:dyDescent="0.25">
      <c r="A1496" s="41"/>
    </row>
    <row r="1497" spans="1:1" ht="15.75" x14ac:dyDescent="0.25">
      <c r="A1497" s="41"/>
    </row>
    <row r="1498" spans="1:1" ht="15.75" x14ac:dyDescent="0.25">
      <c r="A1498" s="41"/>
    </row>
    <row r="1499" spans="1:1" ht="15.75" x14ac:dyDescent="0.25">
      <c r="A1499" s="41"/>
    </row>
    <row r="1500" spans="1:1" ht="15.75" x14ac:dyDescent="0.25">
      <c r="A1500" s="41"/>
    </row>
    <row r="1501" spans="1:1" ht="15.75" x14ac:dyDescent="0.25">
      <c r="A1501" s="41"/>
    </row>
    <row r="1502" spans="1:1" ht="15.75" x14ac:dyDescent="0.25">
      <c r="A1502" s="41"/>
    </row>
    <row r="1503" spans="1:1" ht="15.75" x14ac:dyDescent="0.25">
      <c r="A1503" s="41"/>
    </row>
    <row r="1504" spans="1:1" ht="15.75" x14ac:dyDescent="0.25">
      <c r="A1504" s="41"/>
    </row>
    <row r="1505" spans="1:1" ht="15.75" x14ac:dyDescent="0.25">
      <c r="A1505" s="41"/>
    </row>
    <row r="1506" spans="1:1" ht="15.75" x14ac:dyDescent="0.25">
      <c r="A1506" s="41"/>
    </row>
    <row r="1507" spans="1:1" ht="15.75" x14ac:dyDescent="0.25">
      <c r="A1507" s="41"/>
    </row>
    <row r="1508" spans="1:1" ht="15.75" x14ac:dyDescent="0.25">
      <c r="A1508" s="41"/>
    </row>
    <row r="1509" spans="1:1" ht="15.75" x14ac:dyDescent="0.25">
      <c r="A1509" s="41"/>
    </row>
    <row r="1510" spans="1:1" ht="15.75" x14ac:dyDescent="0.25">
      <c r="A1510" s="41"/>
    </row>
    <row r="1511" spans="1:1" ht="15.75" x14ac:dyDescent="0.25">
      <c r="A1511" s="41"/>
    </row>
    <row r="1512" spans="1:1" ht="15.75" x14ac:dyDescent="0.25">
      <c r="A1512" s="41"/>
    </row>
    <row r="1513" spans="1:1" ht="15.75" x14ac:dyDescent="0.25">
      <c r="A1513" s="41"/>
    </row>
    <row r="1514" spans="1:1" ht="15.75" x14ac:dyDescent="0.25">
      <c r="A1514" s="41"/>
    </row>
    <row r="1515" spans="1:1" ht="15.75" x14ac:dyDescent="0.25">
      <c r="A1515" s="41"/>
    </row>
    <row r="1516" spans="1:1" ht="15.75" x14ac:dyDescent="0.25">
      <c r="A1516" s="41"/>
    </row>
    <row r="1517" spans="1:1" ht="15.75" x14ac:dyDescent="0.25">
      <c r="A1517" s="41"/>
    </row>
    <row r="1518" spans="1:1" ht="15.75" x14ac:dyDescent="0.25">
      <c r="A1518" s="41"/>
    </row>
    <row r="1519" spans="1:1" ht="15.75" x14ac:dyDescent="0.25">
      <c r="A1519" s="41"/>
    </row>
    <row r="1520" spans="1:1" ht="15.75" x14ac:dyDescent="0.25">
      <c r="A1520" s="41"/>
    </row>
    <row r="1521" spans="1:1" ht="15.75" x14ac:dyDescent="0.25">
      <c r="A1521" s="41"/>
    </row>
    <row r="1522" spans="1:1" ht="15.75" x14ac:dyDescent="0.25">
      <c r="A1522" s="41"/>
    </row>
    <row r="1523" spans="1:1" ht="15.75" x14ac:dyDescent="0.25">
      <c r="A1523" s="41"/>
    </row>
    <row r="1524" spans="1:1" ht="15.75" x14ac:dyDescent="0.25">
      <c r="A1524" s="41"/>
    </row>
    <row r="1525" spans="1:1" ht="15.75" x14ac:dyDescent="0.25">
      <c r="A1525" s="41"/>
    </row>
    <row r="1526" spans="1:1" ht="15.75" x14ac:dyDescent="0.25">
      <c r="A1526" s="41"/>
    </row>
    <row r="1527" spans="1:1" ht="15.75" x14ac:dyDescent="0.25">
      <c r="A1527" s="41"/>
    </row>
    <row r="1528" spans="1:1" ht="15.75" x14ac:dyDescent="0.25">
      <c r="A1528" s="41"/>
    </row>
    <row r="1529" spans="1:1" ht="15.75" x14ac:dyDescent="0.25">
      <c r="A1529" s="41"/>
    </row>
    <row r="1530" spans="1:1" ht="15.75" x14ac:dyDescent="0.25">
      <c r="A1530" s="41"/>
    </row>
    <row r="1531" spans="1:1" ht="15.75" x14ac:dyDescent="0.25">
      <c r="A1531" s="41"/>
    </row>
    <row r="1532" spans="1:1" ht="15.75" x14ac:dyDescent="0.25">
      <c r="A1532" s="41"/>
    </row>
    <row r="1533" spans="1:1" ht="15.75" x14ac:dyDescent="0.25">
      <c r="A1533" s="41"/>
    </row>
    <row r="1534" spans="1:1" ht="15.75" x14ac:dyDescent="0.25">
      <c r="A1534" s="41"/>
    </row>
    <row r="1535" spans="1:1" ht="15.75" x14ac:dyDescent="0.25">
      <c r="A1535" s="41"/>
    </row>
    <row r="1536" spans="1:1" ht="15.75" x14ac:dyDescent="0.25">
      <c r="A1536" s="41"/>
    </row>
    <row r="1537" spans="1:1" ht="15.75" x14ac:dyDescent="0.25">
      <c r="A1537" s="41"/>
    </row>
    <row r="1538" spans="1:1" ht="15.75" x14ac:dyDescent="0.25">
      <c r="A1538" s="41"/>
    </row>
    <row r="1539" spans="1:1" ht="15.75" x14ac:dyDescent="0.25">
      <c r="A1539" s="41"/>
    </row>
    <row r="1540" spans="1:1" ht="15.75" x14ac:dyDescent="0.25">
      <c r="A1540" s="41"/>
    </row>
    <row r="1541" spans="1:1" ht="15.75" x14ac:dyDescent="0.25">
      <c r="A1541" s="41"/>
    </row>
    <row r="1542" spans="1:1" ht="15.75" x14ac:dyDescent="0.25">
      <c r="A1542" s="41"/>
    </row>
    <row r="1543" spans="1:1" ht="15.75" x14ac:dyDescent="0.25">
      <c r="A1543" s="41"/>
    </row>
    <row r="1544" spans="1:1" ht="15.75" x14ac:dyDescent="0.25">
      <c r="A1544" s="41"/>
    </row>
    <row r="1545" spans="1:1" ht="15.75" x14ac:dyDescent="0.25">
      <c r="A1545" s="41"/>
    </row>
    <row r="1546" spans="1:1" ht="15.75" x14ac:dyDescent="0.25">
      <c r="A1546" s="41"/>
    </row>
    <row r="1547" spans="1:1" ht="15.75" x14ac:dyDescent="0.25">
      <c r="A1547" s="41"/>
    </row>
    <row r="1548" spans="1:1" ht="15.75" x14ac:dyDescent="0.25">
      <c r="A1548" s="41"/>
    </row>
    <row r="1549" spans="1:1" ht="15.75" x14ac:dyDescent="0.25">
      <c r="A1549" s="41"/>
    </row>
    <row r="1550" spans="1:1" ht="15.75" x14ac:dyDescent="0.25">
      <c r="A1550" s="41"/>
    </row>
    <row r="1551" spans="1:1" ht="15.75" x14ac:dyDescent="0.25">
      <c r="A1551" s="41"/>
    </row>
    <row r="1552" spans="1:1" ht="15.75" x14ac:dyDescent="0.25">
      <c r="A1552" s="41"/>
    </row>
    <row r="1553" spans="1:1" ht="15.75" x14ac:dyDescent="0.25">
      <c r="A1553" s="41"/>
    </row>
    <row r="1554" spans="1:1" ht="15.75" x14ac:dyDescent="0.25">
      <c r="A1554" s="41"/>
    </row>
    <row r="1555" spans="1:1" ht="15.75" x14ac:dyDescent="0.25">
      <c r="A1555" s="41"/>
    </row>
    <row r="1556" spans="1:1" ht="15.75" x14ac:dyDescent="0.25">
      <c r="A1556" s="41"/>
    </row>
    <row r="1557" spans="1:1" ht="15.75" x14ac:dyDescent="0.25">
      <c r="A1557" s="41"/>
    </row>
    <row r="1558" spans="1:1" ht="15.75" x14ac:dyDescent="0.25">
      <c r="A1558" s="41"/>
    </row>
    <row r="1559" spans="1:1" ht="15.75" x14ac:dyDescent="0.25">
      <c r="A1559" s="41"/>
    </row>
    <row r="1560" spans="1:1" ht="15.75" x14ac:dyDescent="0.25">
      <c r="A1560" s="41"/>
    </row>
    <row r="1561" spans="1:1" ht="15.75" x14ac:dyDescent="0.25">
      <c r="A1561" s="41"/>
    </row>
    <row r="1562" spans="1:1" ht="15.75" x14ac:dyDescent="0.25">
      <c r="A1562" s="41"/>
    </row>
    <row r="1563" spans="1:1" ht="15.75" x14ac:dyDescent="0.25">
      <c r="A1563" s="41"/>
    </row>
    <row r="1564" spans="1:1" ht="15.75" x14ac:dyDescent="0.25">
      <c r="A1564" s="41"/>
    </row>
    <row r="1565" spans="1:1" ht="15.75" x14ac:dyDescent="0.25">
      <c r="A1565" s="41"/>
    </row>
    <row r="1566" spans="1:1" ht="15.75" x14ac:dyDescent="0.25">
      <c r="A1566" s="41"/>
    </row>
    <row r="1567" spans="1:1" ht="15.75" x14ac:dyDescent="0.25">
      <c r="A1567" s="41"/>
    </row>
    <row r="1568" spans="1:1" ht="15.75" x14ac:dyDescent="0.25">
      <c r="A1568" s="41"/>
    </row>
    <row r="1569" spans="1:1" ht="15.75" x14ac:dyDescent="0.25">
      <c r="A1569" s="41"/>
    </row>
    <row r="1570" spans="1:1" ht="15.75" x14ac:dyDescent="0.25">
      <c r="A1570" s="41"/>
    </row>
    <row r="1571" spans="1:1" ht="15.75" x14ac:dyDescent="0.25">
      <c r="A1571" s="41"/>
    </row>
    <row r="1572" spans="1:1" ht="15.75" x14ac:dyDescent="0.25">
      <c r="A1572" s="41"/>
    </row>
    <row r="1573" spans="1:1" ht="15.75" x14ac:dyDescent="0.25">
      <c r="A1573" s="41"/>
    </row>
    <row r="1574" spans="1:1" ht="15.75" x14ac:dyDescent="0.25">
      <c r="A1574" s="41"/>
    </row>
    <row r="1575" spans="1:1" ht="15.75" x14ac:dyDescent="0.25">
      <c r="A1575" s="41"/>
    </row>
    <row r="1576" spans="1:1" ht="15.75" x14ac:dyDescent="0.25">
      <c r="A1576" s="41"/>
    </row>
    <row r="1577" spans="1:1" ht="15.75" x14ac:dyDescent="0.25">
      <c r="A1577" s="41"/>
    </row>
    <row r="1578" spans="1:1" ht="15.75" x14ac:dyDescent="0.25">
      <c r="A1578" s="41"/>
    </row>
    <row r="1579" spans="1:1" ht="15.75" x14ac:dyDescent="0.25">
      <c r="A1579" s="41"/>
    </row>
    <row r="1580" spans="1:1" ht="15.75" x14ac:dyDescent="0.25">
      <c r="A1580" s="41"/>
    </row>
    <row r="1581" spans="1:1" ht="15.75" x14ac:dyDescent="0.25">
      <c r="A1581" s="41"/>
    </row>
    <row r="1582" spans="1:1" ht="15.75" x14ac:dyDescent="0.25">
      <c r="A1582" s="41"/>
    </row>
    <row r="1583" spans="1:1" ht="15.75" x14ac:dyDescent="0.25">
      <c r="A1583" s="41"/>
    </row>
    <row r="1584" spans="1:1" ht="15.75" x14ac:dyDescent="0.25">
      <c r="A1584" s="41"/>
    </row>
    <row r="1585" spans="1:1" ht="15.75" x14ac:dyDescent="0.25">
      <c r="A1585" s="41"/>
    </row>
    <row r="1586" spans="1:1" ht="15.75" x14ac:dyDescent="0.25">
      <c r="A1586" s="41"/>
    </row>
    <row r="1587" spans="1:1" ht="15.75" x14ac:dyDescent="0.25">
      <c r="A1587" s="41"/>
    </row>
    <row r="1588" spans="1:1" ht="15.75" x14ac:dyDescent="0.25">
      <c r="A1588" s="41"/>
    </row>
    <row r="1589" spans="1:1" ht="15.75" x14ac:dyDescent="0.25">
      <c r="A1589" s="41"/>
    </row>
    <row r="1590" spans="1:1" ht="15.75" x14ac:dyDescent="0.25">
      <c r="A1590" s="41"/>
    </row>
    <row r="1591" spans="1:1" ht="15.75" x14ac:dyDescent="0.25">
      <c r="A1591" s="41"/>
    </row>
    <row r="1592" spans="1:1" ht="15.75" x14ac:dyDescent="0.25">
      <c r="A1592" s="41"/>
    </row>
    <row r="1593" spans="1:1" ht="15.75" x14ac:dyDescent="0.25">
      <c r="A1593" s="41"/>
    </row>
    <row r="1594" spans="1:1" ht="15.75" x14ac:dyDescent="0.25">
      <c r="A1594" s="41"/>
    </row>
    <row r="1595" spans="1:1" ht="15.75" x14ac:dyDescent="0.25">
      <c r="A1595" s="41"/>
    </row>
    <row r="1596" spans="1:1" ht="15.75" x14ac:dyDescent="0.25">
      <c r="A1596" s="41"/>
    </row>
    <row r="1597" spans="1:1" ht="15.75" x14ac:dyDescent="0.25">
      <c r="A1597" s="41"/>
    </row>
    <row r="1598" spans="1:1" ht="15.75" x14ac:dyDescent="0.25">
      <c r="A1598" s="41"/>
    </row>
    <row r="1599" spans="1:1" ht="15.75" x14ac:dyDescent="0.25">
      <c r="A1599" s="41"/>
    </row>
    <row r="1600" spans="1:1" ht="15.75" x14ac:dyDescent="0.25">
      <c r="A1600" s="41"/>
    </row>
    <row r="1601" spans="1:1" ht="15.75" x14ac:dyDescent="0.25">
      <c r="A1601" s="41"/>
    </row>
    <row r="1602" spans="1:1" ht="15.75" x14ac:dyDescent="0.25">
      <c r="A1602" s="41"/>
    </row>
    <row r="1603" spans="1:1" ht="15.75" x14ac:dyDescent="0.25">
      <c r="A1603" s="41"/>
    </row>
    <row r="1604" spans="1:1" ht="15.75" x14ac:dyDescent="0.25">
      <c r="A1604" s="41"/>
    </row>
    <row r="1605" spans="1:1" ht="15.75" x14ac:dyDescent="0.25">
      <c r="A1605" s="41"/>
    </row>
    <row r="1606" spans="1:1" ht="15.75" x14ac:dyDescent="0.25">
      <c r="A1606" s="41"/>
    </row>
    <row r="1607" spans="1:1" ht="15.75" x14ac:dyDescent="0.25">
      <c r="A1607" s="41"/>
    </row>
    <row r="1608" spans="1:1" ht="15.75" x14ac:dyDescent="0.25">
      <c r="A1608" s="41"/>
    </row>
    <row r="1609" spans="1:1" ht="15.75" x14ac:dyDescent="0.25">
      <c r="A1609" s="41"/>
    </row>
    <row r="1610" spans="1:1" ht="15.75" x14ac:dyDescent="0.25">
      <c r="A1610" s="41"/>
    </row>
    <row r="1611" spans="1:1" ht="15.75" x14ac:dyDescent="0.25">
      <c r="A1611" s="41"/>
    </row>
    <row r="1612" spans="1:1" ht="15.75" x14ac:dyDescent="0.25">
      <c r="A1612" s="41"/>
    </row>
    <row r="1613" spans="1:1" ht="15.75" x14ac:dyDescent="0.25">
      <c r="A1613" s="41"/>
    </row>
    <row r="1614" spans="1:1" ht="15.75" x14ac:dyDescent="0.25">
      <c r="A1614" s="41"/>
    </row>
    <row r="1615" spans="1:1" ht="15.75" x14ac:dyDescent="0.25">
      <c r="A1615" s="41"/>
    </row>
    <row r="1616" spans="1:1" ht="15.75" x14ac:dyDescent="0.25">
      <c r="A1616" s="41"/>
    </row>
    <row r="1617" spans="1:1" ht="15.75" x14ac:dyDescent="0.25">
      <c r="A1617" s="41"/>
    </row>
    <row r="1618" spans="1:1" ht="15.75" x14ac:dyDescent="0.25">
      <c r="A1618" s="41"/>
    </row>
    <row r="1619" spans="1:1" ht="15.75" x14ac:dyDescent="0.25">
      <c r="A1619" s="41"/>
    </row>
    <row r="1620" spans="1:1" ht="15.75" x14ac:dyDescent="0.25">
      <c r="A1620" s="41"/>
    </row>
    <row r="1621" spans="1:1" ht="15.75" x14ac:dyDescent="0.25">
      <c r="A1621" s="41"/>
    </row>
    <row r="1622" spans="1:1" ht="15.75" x14ac:dyDescent="0.25">
      <c r="A1622" s="41"/>
    </row>
    <row r="1623" spans="1:1" ht="15.75" x14ac:dyDescent="0.25">
      <c r="A1623" s="41"/>
    </row>
    <row r="1624" spans="1:1" ht="15.75" x14ac:dyDescent="0.25">
      <c r="A1624" s="41"/>
    </row>
    <row r="1625" spans="1:1" ht="15.75" x14ac:dyDescent="0.25">
      <c r="A1625" s="41"/>
    </row>
    <row r="1626" spans="1:1" ht="15.75" x14ac:dyDescent="0.25">
      <c r="A1626" s="41"/>
    </row>
    <row r="1627" spans="1:1" ht="15.75" x14ac:dyDescent="0.25">
      <c r="A1627" s="41"/>
    </row>
    <row r="1628" spans="1:1" ht="15.75" x14ac:dyDescent="0.25">
      <c r="A1628" s="41"/>
    </row>
    <row r="1629" spans="1:1" ht="15.75" x14ac:dyDescent="0.25">
      <c r="A1629" s="41"/>
    </row>
    <row r="1630" spans="1:1" ht="15.75" x14ac:dyDescent="0.25">
      <c r="A1630" s="41"/>
    </row>
    <row r="1631" spans="1:1" ht="15.75" x14ac:dyDescent="0.25">
      <c r="A1631" s="41"/>
    </row>
    <row r="1632" spans="1:1" ht="15.75" x14ac:dyDescent="0.25">
      <c r="A1632" s="41"/>
    </row>
    <row r="1633" spans="1:1" ht="15.75" x14ac:dyDescent="0.25">
      <c r="A1633" s="41"/>
    </row>
    <row r="1634" spans="1:1" ht="15.75" x14ac:dyDescent="0.25">
      <c r="A1634" s="41"/>
    </row>
    <row r="1635" spans="1:1" ht="15.75" x14ac:dyDescent="0.25">
      <c r="A1635" s="41"/>
    </row>
    <row r="1636" spans="1:1" ht="15.75" x14ac:dyDescent="0.25">
      <c r="A1636" s="41"/>
    </row>
    <row r="1637" spans="1:1" ht="15.75" x14ac:dyDescent="0.25">
      <c r="A1637" s="41"/>
    </row>
    <row r="1638" spans="1:1" ht="15.75" x14ac:dyDescent="0.25">
      <c r="A1638" s="41"/>
    </row>
    <row r="1639" spans="1:1" ht="15.75" x14ac:dyDescent="0.25">
      <c r="A1639" s="41"/>
    </row>
    <row r="1640" spans="1:1" ht="15.75" x14ac:dyDescent="0.25">
      <c r="A1640" s="41"/>
    </row>
    <row r="1641" spans="1:1" ht="15.75" x14ac:dyDescent="0.25">
      <c r="A1641" s="41"/>
    </row>
    <row r="1642" spans="1:1" ht="15.75" x14ac:dyDescent="0.25">
      <c r="A1642" s="41"/>
    </row>
    <row r="1643" spans="1:1" ht="15.75" x14ac:dyDescent="0.25">
      <c r="A1643" s="41"/>
    </row>
    <row r="1644" spans="1:1" ht="15.75" x14ac:dyDescent="0.25">
      <c r="A1644" s="41"/>
    </row>
    <row r="1645" spans="1:1" ht="15.75" x14ac:dyDescent="0.25">
      <c r="A1645" s="41"/>
    </row>
    <row r="1646" spans="1:1" ht="15.75" x14ac:dyDescent="0.25">
      <c r="A1646" s="41"/>
    </row>
    <row r="1647" spans="1:1" ht="15.75" x14ac:dyDescent="0.25">
      <c r="A1647" s="41"/>
    </row>
    <row r="1648" spans="1:1" ht="15.75" x14ac:dyDescent="0.25">
      <c r="A1648" s="41"/>
    </row>
    <row r="1649" spans="1:1" ht="15.75" x14ac:dyDescent="0.25">
      <c r="A1649" s="41"/>
    </row>
    <row r="1650" spans="1:1" ht="15.75" x14ac:dyDescent="0.25">
      <c r="A1650" s="41"/>
    </row>
    <row r="1651" spans="1:1" ht="15.75" x14ac:dyDescent="0.25">
      <c r="A1651" s="41"/>
    </row>
    <row r="1652" spans="1:1" ht="15.75" x14ac:dyDescent="0.25">
      <c r="A1652" s="41"/>
    </row>
    <row r="1653" spans="1:1" ht="15.75" x14ac:dyDescent="0.25">
      <c r="A1653" s="41"/>
    </row>
    <row r="1654" spans="1:1" ht="15.75" x14ac:dyDescent="0.25">
      <c r="A1654" s="41"/>
    </row>
    <row r="1655" spans="1:1" ht="15.75" x14ac:dyDescent="0.25">
      <c r="A1655" s="41"/>
    </row>
    <row r="1656" spans="1:1" ht="15.75" x14ac:dyDescent="0.25">
      <c r="A1656" s="41"/>
    </row>
    <row r="1657" spans="1:1" ht="15.75" x14ac:dyDescent="0.25">
      <c r="A1657" s="41"/>
    </row>
    <row r="1658" spans="1:1" ht="15.75" x14ac:dyDescent="0.25">
      <c r="A1658" s="41"/>
    </row>
    <row r="1659" spans="1:1" ht="15.75" x14ac:dyDescent="0.25">
      <c r="A1659" s="41"/>
    </row>
    <row r="1660" spans="1:1" ht="15.75" x14ac:dyDescent="0.25">
      <c r="A1660" s="41"/>
    </row>
    <row r="1661" spans="1:1" ht="15.75" x14ac:dyDescent="0.25">
      <c r="A1661" s="41"/>
    </row>
    <row r="1662" spans="1:1" ht="15.75" x14ac:dyDescent="0.25">
      <c r="A1662" s="41"/>
    </row>
    <row r="1663" spans="1:1" ht="15.75" x14ac:dyDescent="0.25">
      <c r="A1663" s="41"/>
    </row>
    <row r="1664" spans="1:1" ht="15.75" x14ac:dyDescent="0.25">
      <c r="A1664" s="41"/>
    </row>
    <row r="1665" spans="1:1" ht="15.75" x14ac:dyDescent="0.25">
      <c r="A1665" s="41"/>
    </row>
    <row r="1666" spans="1:1" ht="15.75" x14ac:dyDescent="0.25">
      <c r="A1666" s="41"/>
    </row>
    <row r="1667" spans="1:1" ht="15.75" x14ac:dyDescent="0.25">
      <c r="A1667" s="41"/>
    </row>
    <row r="1668" spans="1:1" ht="15.75" x14ac:dyDescent="0.25">
      <c r="A1668" s="41"/>
    </row>
    <row r="1669" spans="1:1" ht="15.75" x14ac:dyDescent="0.25">
      <c r="A1669" s="41"/>
    </row>
    <row r="1670" spans="1:1" ht="15.75" x14ac:dyDescent="0.25">
      <c r="A1670" s="41"/>
    </row>
    <row r="1671" spans="1:1" ht="15.75" x14ac:dyDescent="0.25">
      <c r="A1671" s="41"/>
    </row>
    <row r="1672" spans="1:1" ht="15.75" x14ac:dyDescent="0.25">
      <c r="A1672" s="41"/>
    </row>
    <row r="1673" spans="1:1" ht="15.75" x14ac:dyDescent="0.25">
      <c r="A1673" s="41"/>
    </row>
    <row r="1674" spans="1:1" ht="15.75" x14ac:dyDescent="0.25">
      <c r="A1674" s="41"/>
    </row>
    <row r="1675" spans="1:1" ht="15.75" x14ac:dyDescent="0.25">
      <c r="A1675" s="41"/>
    </row>
    <row r="1676" spans="1:1" ht="15.75" x14ac:dyDescent="0.25">
      <c r="A1676" s="41"/>
    </row>
    <row r="1677" spans="1:1" ht="15.75" x14ac:dyDescent="0.25">
      <c r="A1677" s="41"/>
    </row>
    <row r="1678" spans="1:1" ht="15.75" x14ac:dyDescent="0.25">
      <c r="A1678" s="41"/>
    </row>
    <row r="1679" spans="1:1" ht="15.75" x14ac:dyDescent="0.25">
      <c r="A1679" s="41"/>
    </row>
    <row r="1680" spans="1:1" ht="15.75" x14ac:dyDescent="0.25">
      <c r="A1680" s="41"/>
    </row>
    <row r="1681" spans="1:1" ht="15.75" x14ac:dyDescent="0.25">
      <c r="A1681" s="41"/>
    </row>
    <row r="1682" spans="1:1" ht="15.75" x14ac:dyDescent="0.25">
      <c r="A1682" s="41"/>
    </row>
    <row r="1683" spans="1:1" ht="15.75" x14ac:dyDescent="0.25">
      <c r="A1683" s="41"/>
    </row>
    <row r="1684" spans="1:1" ht="15.75" x14ac:dyDescent="0.25">
      <c r="A1684" s="41"/>
    </row>
    <row r="1685" spans="1:1" ht="15.75" x14ac:dyDescent="0.25">
      <c r="A1685" s="41"/>
    </row>
    <row r="1686" spans="1:1" ht="15.75" x14ac:dyDescent="0.25">
      <c r="A1686" s="41"/>
    </row>
    <row r="1687" spans="1:1" ht="15.75" x14ac:dyDescent="0.25">
      <c r="A1687" s="41"/>
    </row>
    <row r="1688" spans="1:1" ht="15.75" x14ac:dyDescent="0.25">
      <c r="A1688" s="41"/>
    </row>
    <row r="1689" spans="1:1" ht="15.75" x14ac:dyDescent="0.25">
      <c r="A1689" s="41"/>
    </row>
    <row r="1690" spans="1:1" ht="15.75" x14ac:dyDescent="0.25">
      <c r="A1690" s="41"/>
    </row>
    <row r="1691" spans="1:1" ht="15.75" x14ac:dyDescent="0.25">
      <c r="A1691" s="41"/>
    </row>
    <row r="1692" spans="1:1" ht="15.75" x14ac:dyDescent="0.25">
      <c r="A1692" s="41"/>
    </row>
    <row r="1693" spans="1:1" ht="15.75" x14ac:dyDescent="0.25">
      <c r="A1693" s="41"/>
    </row>
    <row r="1694" spans="1:1" ht="15.75" x14ac:dyDescent="0.25">
      <c r="A1694" s="41"/>
    </row>
    <row r="1695" spans="1:1" ht="15.75" x14ac:dyDescent="0.25">
      <c r="A1695" s="41"/>
    </row>
    <row r="1696" spans="1:1" ht="15.75" x14ac:dyDescent="0.25">
      <c r="A1696" s="41"/>
    </row>
    <row r="1697" spans="1:1" ht="15.75" x14ac:dyDescent="0.25">
      <c r="A1697" s="41"/>
    </row>
    <row r="1698" spans="1:1" ht="15.75" x14ac:dyDescent="0.25">
      <c r="A1698" s="41"/>
    </row>
    <row r="1699" spans="1:1" ht="15.75" x14ac:dyDescent="0.25">
      <c r="A1699" s="41"/>
    </row>
    <row r="1700" spans="1:1" ht="15.75" x14ac:dyDescent="0.25">
      <c r="A1700" s="41"/>
    </row>
    <row r="1701" spans="1:1" ht="15.75" x14ac:dyDescent="0.25">
      <c r="A1701" s="41"/>
    </row>
    <row r="1702" spans="1:1" ht="15.75" x14ac:dyDescent="0.25">
      <c r="A1702" s="41"/>
    </row>
    <row r="1703" spans="1:1" ht="15.75" x14ac:dyDescent="0.25">
      <c r="A1703" s="41"/>
    </row>
    <row r="1704" spans="1:1" ht="15.75" x14ac:dyDescent="0.25">
      <c r="A1704" s="41"/>
    </row>
    <row r="1705" spans="1:1" ht="15.75" x14ac:dyDescent="0.25">
      <c r="A1705" s="41"/>
    </row>
    <row r="1706" spans="1:1" ht="15.75" x14ac:dyDescent="0.25">
      <c r="A1706" s="41"/>
    </row>
    <row r="1707" spans="1:1" ht="15.75" x14ac:dyDescent="0.25">
      <c r="A1707" s="41"/>
    </row>
    <row r="1708" spans="1:1" ht="15.75" x14ac:dyDescent="0.25">
      <c r="A1708" s="41"/>
    </row>
    <row r="1709" spans="1:1" ht="15.75" x14ac:dyDescent="0.25">
      <c r="A1709" s="41"/>
    </row>
    <row r="1710" spans="1:1" ht="15.75" x14ac:dyDescent="0.25">
      <c r="A1710" s="41"/>
    </row>
    <row r="1711" spans="1:1" ht="15.75" x14ac:dyDescent="0.25">
      <c r="A1711" s="41"/>
    </row>
    <row r="1712" spans="1:1" ht="15.75" x14ac:dyDescent="0.25">
      <c r="A1712" s="41"/>
    </row>
    <row r="1713" spans="1:1" ht="15.75" x14ac:dyDescent="0.25">
      <c r="A1713" s="41"/>
    </row>
    <row r="1714" spans="1:1" ht="15.75" x14ac:dyDescent="0.25">
      <c r="A1714" s="41"/>
    </row>
    <row r="1715" spans="1:1" ht="15.75" x14ac:dyDescent="0.25">
      <c r="A1715" s="41"/>
    </row>
    <row r="1716" spans="1:1" ht="15.75" x14ac:dyDescent="0.25">
      <c r="A1716" s="41"/>
    </row>
    <row r="1717" spans="1:1" ht="15.75" x14ac:dyDescent="0.25">
      <c r="A1717" s="41"/>
    </row>
    <row r="1718" spans="1:1" ht="15.75" x14ac:dyDescent="0.25">
      <c r="A1718" s="41"/>
    </row>
    <row r="1719" spans="1:1" ht="15.75" x14ac:dyDescent="0.25">
      <c r="A1719" s="41"/>
    </row>
    <row r="1720" spans="1:1" ht="15.75" x14ac:dyDescent="0.25">
      <c r="A1720" s="41"/>
    </row>
    <row r="1721" spans="1:1" ht="15.75" x14ac:dyDescent="0.25">
      <c r="A1721" s="41"/>
    </row>
    <row r="1722" spans="1:1" ht="15.75" x14ac:dyDescent="0.25">
      <c r="A1722" s="41"/>
    </row>
    <row r="1723" spans="1:1" ht="15.75" x14ac:dyDescent="0.25">
      <c r="A1723" s="41"/>
    </row>
    <row r="1724" spans="1:1" ht="15.75" x14ac:dyDescent="0.25">
      <c r="A1724" s="41"/>
    </row>
    <row r="1725" spans="1:1" ht="15.75" x14ac:dyDescent="0.25">
      <c r="A1725" s="41"/>
    </row>
    <row r="1726" spans="1:1" ht="15.75" x14ac:dyDescent="0.25">
      <c r="A1726" s="41"/>
    </row>
    <row r="1727" spans="1:1" ht="15.75" x14ac:dyDescent="0.25">
      <c r="A1727" s="41"/>
    </row>
    <row r="1728" spans="1:1" ht="15.75" x14ac:dyDescent="0.25">
      <c r="A1728" s="41"/>
    </row>
    <row r="1729" spans="1:1" ht="15.75" x14ac:dyDescent="0.25">
      <c r="A1729" s="41"/>
    </row>
    <row r="1730" spans="1:1" ht="15.75" x14ac:dyDescent="0.25">
      <c r="A1730" s="41"/>
    </row>
    <row r="1731" spans="1:1" ht="15.75" x14ac:dyDescent="0.25">
      <c r="A1731" s="41"/>
    </row>
    <row r="1732" spans="1:1" ht="15.75" x14ac:dyDescent="0.25">
      <c r="A1732" s="41"/>
    </row>
    <row r="1733" spans="1:1" ht="15.75" x14ac:dyDescent="0.25">
      <c r="A1733" s="41"/>
    </row>
    <row r="1734" spans="1:1" ht="15.75" x14ac:dyDescent="0.25">
      <c r="A1734" s="41"/>
    </row>
    <row r="1735" spans="1:1" ht="15.75" x14ac:dyDescent="0.25">
      <c r="A1735" s="41"/>
    </row>
    <row r="1736" spans="1:1" ht="15.75" x14ac:dyDescent="0.25">
      <c r="A1736" s="41"/>
    </row>
    <row r="1737" spans="1:1" ht="15.75" x14ac:dyDescent="0.25">
      <c r="A1737" s="41"/>
    </row>
    <row r="1738" spans="1:1" ht="15.75" x14ac:dyDescent="0.25">
      <c r="A1738" s="41"/>
    </row>
    <row r="1739" spans="1:1" ht="15.75" x14ac:dyDescent="0.25">
      <c r="A1739" s="41"/>
    </row>
    <row r="1740" spans="1:1" ht="15.75" x14ac:dyDescent="0.25">
      <c r="A1740" s="41"/>
    </row>
    <row r="1741" spans="1:1" ht="15.75" x14ac:dyDescent="0.25">
      <c r="A1741" s="41"/>
    </row>
    <row r="1742" spans="1:1" ht="15.75" x14ac:dyDescent="0.25">
      <c r="A1742" s="41"/>
    </row>
    <row r="1743" spans="1:1" ht="15.75" x14ac:dyDescent="0.25">
      <c r="A1743" s="41"/>
    </row>
    <row r="1744" spans="1:1" ht="15.75" x14ac:dyDescent="0.25">
      <c r="A1744" s="41"/>
    </row>
    <row r="1745" spans="1:1" ht="15.75" x14ac:dyDescent="0.25">
      <c r="A1745" s="41"/>
    </row>
    <row r="1746" spans="1:1" ht="15.75" x14ac:dyDescent="0.25">
      <c r="A1746" s="41"/>
    </row>
    <row r="1747" spans="1:1" ht="15.75" x14ac:dyDescent="0.25">
      <c r="A1747" s="41"/>
    </row>
    <row r="1748" spans="1:1" ht="15.75" x14ac:dyDescent="0.25">
      <c r="A1748" s="41"/>
    </row>
    <row r="1749" spans="1:1" ht="15.75" x14ac:dyDescent="0.25">
      <c r="A1749" s="41"/>
    </row>
    <row r="1750" spans="1:1" ht="15.75" x14ac:dyDescent="0.25">
      <c r="A1750" s="41"/>
    </row>
    <row r="1751" spans="1:1" ht="15.75" x14ac:dyDescent="0.25">
      <c r="A1751" s="41"/>
    </row>
    <row r="1752" spans="1:1" ht="15.75" x14ac:dyDescent="0.25">
      <c r="A1752" s="41"/>
    </row>
    <row r="1753" spans="1:1" ht="15.75" x14ac:dyDescent="0.25">
      <c r="A1753" s="41"/>
    </row>
    <row r="1754" spans="1:1" ht="15.75" x14ac:dyDescent="0.25">
      <c r="A1754" s="41"/>
    </row>
    <row r="1755" spans="1:1" ht="15.75" x14ac:dyDescent="0.25">
      <c r="A1755" s="41"/>
    </row>
    <row r="1756" spans="1:1" ht="15.75" x14ac:dyDescent="0.25">
      <c r="A1756" s="41"/>
    </row>
    <row r="1757" spans="1:1" ht="15.75" x14ac:dyDescent="0.25">
      <c r="A1757" s="41"/>
    </row>
    <row r="1758" spans="1:1" ht="15.75" x14ac:dyDescent="0.25">
      <c r="A1758" s="41"/>
    </row>
    <row r="1759" spans="1:1" ht="15.75" x14ac:dyDescent="0.25">
      <c r="A1759" s="41"/>
    </row>
    <row r="1760" spans="1:1" ht="15.75" x14ac:dyDescent="0.25">
      <c r="A1760" s="41"/>
    </row>
    <row r="1761" spans="1:1" ht="15.75" x14ac:dyDescent="0.25">
      <c r="A1761" s="41"/>
    </row>
    <row r="1762" spans="1:1" ht="15.75" x14ac:dyDescent="0.25">
      <c r="A1762" s="41"/>
    </row>
    <row r="1763" spans="1:1" ht="15.75" x14ac:dyDescent="0.25">
      <c r="A1763" s="41"/>
    </row>
    <row r="1764" spans="1:1" ht="15.75" x14ac:dyDescent="0.25">
      <c r="A1764" s="41"/>
    </row>
    <row r="1765" spans="1:1" ht="15.75" x14ac:dyDescent="0.25">
      <c r="A1765" s="41"/>
    </row>
    <row r="1766" spans="1:1" ht="15.75" x14ac:dyDescent="0.25">
      <c r="A1766" s="41"/>
    </row>
    <row r="1767" spans="1:1" ht="15.75" x14ac:dyDescent="0.25">
      <c r="A1767" s="41"/>
    </row>
    <row r="1768" spans="1:1" ht="15.75" x14ac:dyDescent="0.25">
      <c r="A1768" s="41"/>
    </row>
    <row r="1769" spans="1:1" ht="15.75" x14ac:dyDescent="0.25">
      <c r="A1769" s="41"/>
    </row>
    <row r="1770" spans="1:1" ht="15.75" x14ac:dyDescent="0.25">
      <c r="A1770" s="41"/>
    </row>
    <row r="1771" spans="1:1" ht="15.75" x14ac:dyDescent="0.25">
      <c r="A1771" s="41"/>
    </row>
    <row r="1772" spans="1:1" ht="15.75" x14ac:dyDescent="0.25">
      <c r="A1772" s="41"/>
    </row>
    <row r="1773" spans="1:1" ht="15.75" x14ac:dyDescent="0.25">
      <c r="A1773" s="41"/>
    </row>
    <row r="1774" spans="1:1" ht="15.75" x14ac:dyDescent="0.25">
      <c r="A1774" s="41"/>
    </row>
    <row r="1775" spans="1:1" ht="15.75" x14ac:dyDescent="0.25">
      <c r="A1775" s="41"/>
    </row>
    <row r="1776" spans="1:1" ht="15.75" x14ac:dyDescent="0.25">
      <c r="A1776" s="41"/>
    </row>
    <row r="1777" spans="1:1" ht="15.75" x14ac:dyDescent="0.25">
      <c r="A1777" s="41"/>
    </row>
    <row r="1778" spans="1:1" ht="15.75" x14ac:dyDescent="0.25">
      <c r="A1778" s="41"/>
    </row>
    <row r="1779" spans="1:1" ht="15.75" x14ac:dyDescent="0.25">
      <c r="A1779" s="41"/>
    </row>
    <row r="1780" spans="1:1" ht="15.75" x14ac:dyDescent="0.25">
      <c r="A1780" s="41"/>
    </row>
    <row r="1781" spans="1:1" ht="15.75" x14ac:dyDescent="0.25">
      <c r="A1781" s="41"/>
    </row>
    <row r="1782" spans="1:1" ht="15.75" x14ac:dyDescent="0.25">
      <c r="A1782" s="41"/>
    </row>
    <row r="1783" spans="1:1" ht="15.75" x14ac:dyDescent="0.25">
      <c r="A1783" s="41"/>
    </row>
    <row r="1784" spans="1:1" ht="15.75" x14ac:dyDescent="0.25">
      <c r="A1784" s="41"/>
    </row>
    <row r="1785" spans="1:1" ht="15.75" x14ac:dyDescent="0.25">
      <c r="A1785" s="41"/>
    </row>
    <row r="1786" spans="1:1" ht="15.75" x14ac:dyDescent="0.25">
      <c r="A1786" s="41"/>
    </row>
    <row r="1787" spans="1:1" ht="15.75" x14ac:dyDescent="0.25">
      <c r="A1787" s="41"/>
    </row>
    <row r="1788" spans="1:1" ht="15.75" x14ac:dyDescent="0.25">
      <c r="A1788" s="41"/>
    </row>
    <row r="1789" spans="1:1" ht="15.75" x14ac:dyDescent="0.25">
      <c r="A1789" s="41"/>
    </row>
    <row r="1790" spans="1:1" ht="15.75" x14ac:dyDescent="0.25">
      <c r="A1790" s="41"/>
    </row>
    <row r="1791" spans="1:1" ht="15.75" x14ac:dyDescent="0.25">
      <c r="A1791" s="41"/>
    </row>
    <row r="1792" spans="1:1" ht="15.75" x14ac:dyDescent="0.25">
      <c r="A1792" s="41"/>
    </row>
    <row r="1793" spans="1:1" ht="15.75" x14ac:dyDescent="0.25">
      <c r="A1793" s="41"/>
    </row>
    <row r="1794" spans="1:1" ht="15.75" x14ac:dyDescent="0.25">
      <c r="A1794" s="41"/>
    </row>
    <row r="1795" spans="1:1" ht="15.75" x14ac:dyDescent="0.25">
      <c r="A1795" s="41"/>
    </row>
    <row r="1796" spans="1:1" ht="15.75" x14ac:dyDescent="0.25">
      <c r="A1796" s="41"/>
    </row>
    <row r="1797" spans="1:1" ht="15.75" x14ac:dyDescent="0.25">
      <c r="A1797" s="41"/>
    </row>
    <row r="1798" spans="1:1" ht="15.75" x14ac:dyDescent="0.25">
      <c r="A1798" s="41"/>
    </row>
    <row r="1799" spans="1:1" ht="15.75" x14ac:dyDescent="0.25">
      <c r="A1799" s="41"/>
    </row>
    <row r="1800" spans="1:1" ht="15.75" x14ac:dyDescent="0.25">
      <c r="A1800" s="41"/>
    </row>
    <row r="1801" spans="1:1" ht="15.75" x14ac:dyDescent="0.25">
      <c r="A1801" s="41"/>
    </row>
    <row r="1802" spans="1:1" ht="15.75" x14ac:dyDescent="0.25">
      <c r="A1802" s="41"/>
    </row>
    <row r="1803" spans="1:1" ht="15.75" x14ac:dyDescent="0.25">
      <c r="A1803" s="41"/>
    </row>
    <row r="1804" spans="1:1" ht="15.75" x14ac:dyDescent="0.25">
      <c r="A1804" s="41"/>
    </row>
    <row r="1805" spans="1:1" ht="15.75" x14ac:dyDescent="0.25">
      <c r="A1805" s="41"/>
    </row>
    <row r="1806" spans="1:1" ht="15.75" x14ac:dyDescent="0.25">
      <c r="A1806" s="41"/>
    </row>
    <row r="1807" spans="1:1" ht="15.75" x14ac:dyDescent="0.25">
      <c r="A1807" s="41"/>
    </row>
    <row r="1808" spans="1:1" ht="15.75" x14ac:dyDescent="0.25">
      <c r="A1808" s="41"/>
    </row>
    <row r="1809" spans="1:1" ht="15.75" x14ac:dyDescent="0.25">
      <c r="A1809" s="41"/>
    </row>
    <row r="1810" spans="1:1" ht="15.75" x14ac:dyDescent="0.25">
      <c r="A1810" s="41"/>
    </row>
    <row r="1811" spans="1:1" ht="15.75" x14ac:dyDescent="0.25">
      <c r="A1811" s="41"/>
    </row>
    <row r="1812" spans="1:1" ht="15.75" x14ac:dyDescent="0.25">
      <c r="A1812" s="41"/>
    </row>
    <row r="1813" spans="1:1" ht="15.75" x14ac:dyDescent="0.25">
      <c r="A1813" s="41"/>
    </row>
    <row r="1814" spans="1:1" ht="15.75" x14ac:dyDescent="0.25">
      <c r="A1814" s="41"/>
    </row>
    <row r="1815" spans="1:1" ht="15.75" x14ac:dyDescent="0.25">
      <c r="A1815" s="41"/>
    </row>
    <row r="1816" spans="1:1" ht="15.75" x14ac:dyDescent="0.25">
      <c r="A1816" s="41"/>
    </row>
    <row r="1817" spans="1:1" ht="15.75" x14ac:dyDescent="0.25">
      <c r="A1817" s="41"/>
    </row>
    <row r="1818" spans="1:1" ht="15.75" x14ac:dyDescent="0.25">
      <c r="A1818" s="41"/>
    </row>
    <row r="1819" spans="1:1" ht="15.75" x14ac:dyDescent="0.25">
      <c r="A1819" s="41"/>
    </row>
    <row r="1820" spans="1:1" ht="15.75" x14ac:dyDescent="0.25">
      <c r="A1820" s="41"/>
    </row>
    <row r="1821" spans="1:1" ht="15.75" x14ac:dyDescent="0.25">
      <c r="A1821" s="41"/>
    </row>
    <row r="1822" spans="1:1" ht="15.75" x14ac:dyDescent="0.25">
      <c r="A1822" s="41"/>
    </row>
    <row r="1823" spans="1:1" ht="15.75" x14ac:dyDescent="0.25">
      <c r="A1823" s="41"/>
    </row>
    <row r="1824" spans="1:1" ht="15.75" x14ac:dyDescent="0.25">
      <c r="A1824" s="41"/>
    </row>
    <row r="1825" spans="1:1" ht="15.75" x14ac:dyDescent="0.25">
      <c r="A1825" s="41"/>
    </row>
    <row r="1826" spans="1:1" ht="15.75" x14ac:dyDescent="0.25">
      <c r="A1826" s="41"/>
    </row>
    <row r="1827" spans="1:1" ht="15.75" x14ac:dyDescent="0.25">
      <c r="A1827" s="41"/>
    </row>
    <row r="1828" spans="1:1" ht="15.75" x14ac:dyDescent="0.25">
      <c r="A1828" s="41"/>
    </row>
    <row r="1829" spans="1:1" ht="15.75" x14ac:dyDescent="0.25">
      <c r="A1829" s="41"/>
    </row>
    <row r="1830" spans="1:1" ht="15.75" x14ac:dyDescent="0.25">
      <c r="A1830" s="41"/>
    </row>
    <row r="1831" spans="1:1" ht="15.75" x14ac:dyDescent="0.25">
      <c r="A1831" s="41"/>
    </row>
    <row r="1832" spans="1:1" ht="15.75" x14ac:dyDescent="0.25">
      <c r="A1832" s="41"/>
    </row>
    <row r="1833" spans="1:1" ht="15.75" x14ac:dyDescent="0.25">
      <c r="A1833" s="41"/>
    </row>
    <row r="1834" spans="1:1" ht="15.75" x14ac:dyDescent="0.25">
      <c r="A1834" s="41"/>
    </row>
    <row r="1835" spans="1:1" ht="15.75" x14ac:dyDescent="0.25">
      <c r="A1835" s="41"/>
    </row>
    <row r="1836" spans="1:1" ht="15.75" x14ac:dyDescent="0.25">
      <c r="A1836" s="41"/>
    </row>
    <row r="1837" spans="1:1" ht="15.75" x14ac:dyDescent="0.25">
      <c r="A1837" s="41"/>
    </row>
    <row r="1838" spans="1:1" ht="15.75" x14ac:dyDescent="0.25">
      <c r="A1838" s="41"/>
    </row>
    <row r="1839" spans="1:1" ht="15.75" x14ac:dyDescent="0.25">
      <c r="A1839" s="41"/>
    </row>
    <row r="1840" spans="1:1" ht="15.75" x14ac:dyDescent="0.25">
      <c r="A1840" s="41"/>
    </row>
    <row r="1841" spans="1:1" ht="15.75" x14ac:dyDescent="0.25">
      <c r="A1841" s="41"/>
    </row>
    <row r="1842" spans="1:1" ht="15.75" x14ac:dyDescent="0.25">
      <c r="A1842" s="41"/>
    </row>
    <row r="1843" spans="1:1" ht="15.75" x14ac:dyDescent="0.25">
      <c r="A1843" s="41"/>
    </row>
    <row r="1844" spans="1:1" ht="15.75" x14ac:dyDescent="0.25">
      <c r="A1844" s="41"/>
    </row>
    <row r="1845" spans="1:1" ht="15.75" x14ac:dyDescent="0.25">
      <c r="A1845" s="41"/>
    </row>
    <row r="1846" spans="1:1" ht="15.75" x14ac:dyDescent="0.25">
      <c r="A1846" s="41"/>
    </row>
    <row r="1847" spans="1:1" ht="15.75" x14ac:dyDescent="0.25">
      <c r="A1847" s="41"/>
    </row>
    <row r="1848" spans="1:1" ht="15.75" x14ac:dyDescent="0.25">
      <c r="A1848" s="41"/>
    </row>
    <row r="1849" spans="1:1" ht="15.75" x14ac:dyDescent="0.25">
      <c r="A1849" s="41"/>
    </row>
    <row r="1850" spans="1:1" ht="15.75" x14ac:dyDescent="0.25">
      <c r="A1850" s="41"/>
    </row>
    <row r="1851" spans="1:1" ht="15.75" x14ac:dyDescent="0.25">
      <c r="A1851" s="41"/>
    </row>
    <row r="1852" spans="1:1" ht="15.75" x14ac:dyDescent="0.25">
      <c r="A1852" s="41"/>
    </row>
    <row r="1853" spans="1:1" ht="15.75" x14ac:dyDescent="0.25">
      <c r="A1853" s="41"/>
    </row>
    <row r="1854" spans="1:1" ht="15.75" x14ac:dyDescent="0.25">
      <c r="A1854" s="41"/>
    </row>
    <row r="1855" spans="1:1" ht="15.75" x14ac:dyDescent="0.25">
      <c r="A1855" s="41"/>
    </row>
    <row r="1856" spans="1:1" ht="15.75" x14ac:dyDescent="0.25">
      <c r="A1856" s="41"/>
    </row>
    <row r="1857" spans="1:1" ht="15.75" x14ac:dyDescent="0.25">
      <c r="A1857" s="41"/>
    </row>
    <row r="1858" spans="1:1" ht="15.75" x14ac:dyDescent="0.25">
      <c r="A1858" s="41"/>
    </row>
    <row r="1859" spans="1:1" ht="15.75" x14ac:dyDescent="0.25">
      <c r="A1859" s="41"/>
    </row>
    <row r="1860" spans="1:1" ht="15.75" x14ac:dyDescent="0.25">
      <c r="A1860" s="41"/>
    </row>
    <row r="1861" spans="1:1" ht="15.75" x14ac:dyDescent="0.25">
      <c r="A1861" s="41"/>
    </row>
    <row r="1862" spans="1:1" ht="15.75" x14ac:dyDescent="0.25">
      <c r="A1862" s="41"/>
    </row>
    <row r="1863" spans="1:1" ht="15.75" x14ac:dyDescent="0.25">
      <c r="A1863" s="41"/>
    </row>
    <row r="1864" spans="1:1" ht="15.75" x14ac:dyDescent="0.25">
      <c r="A1864" s="41"/>
    </row>
    <row r="1865" spans="1:1" ht="15.75" x14ac:dyDescent="0.25">
      <c r="A1865" s="41"/>
    </row>
    <row r="1866" spans="1:1" ht="15.75" x14ac:dyDescent="0.25">
      <c r="A1866" s="41"/>
    </row>
    <row r="1867" spans="1:1" ht="15.75" x14ac:dyDescent="0.25">
      <c r="A1867" s="41"/>
    </row>
    <row r="1868" spans="1:1" ht="15.75" x14ac:dyDescent="0.25">
      <c r="A1868" s="41"/>
    </row>
    <row r="1869" spans="1:1" ht="15.75" x14ac:dyDescent="0.25">
      <c r="A1869" s="41"/>
    </row>
    <row r="1870" spans="1:1" ht="15.75" x14ac:dyDescent="0.25">
      <c r="A1870" s="41"/>
    </row>
    <row r="1871" spans="1:1" ht="15.75" x14ac:dyDescent="0.25">
      <c r="A1871" s="41"/>
    </row>
    <row r="1872" spans="1:1" ht="15.75" x14ac:dyDescent="0.25">
      <c r="A1872" s="41"/>
    </row>
    <row r="1873" spans="1:1" ht="15.75" x14ac:dyDescent="0.25">
      <c r="A1873" s="41"/>
    </row>
    <row r="1874" spans="1:1" ht="15.75" x14ac:dyDescent="0.25">
      <c r="A1874" s="41"/>
    </row>
    <row r="1875" spans="1:1" ht="15.75" x14ac:dyDescent="0.25">
      <c r="A1875" s="41"/>
    </row>
    <row r="1876" spans="1:1" ht="15.75" x14ac:dyDescent="0.25">
      <c r="A1876" s="41"/>
    </row>
    <row r="1877" spans="1:1" ht="15.75" x14ac:dyDescent="0.25">
      <c r="A1877" s="41"/>
    </row>
    <row r="1878" spans="1:1" ht="15.75" x14ac:dyDescent="0.25">
      <c r="A1878" s="41"/>
    </row>
    <row r="1879" spans="1:1" ht="15.75" x14ac:dyDescent="0.25">
      <c r="A1879" s="41"/>
    </row>
    <row r="1880" spans="1:1" ht="15.75" x14ac:dyDescent="0.25">
      <c r="A1880" s="41"/>
    </row>
    <row r="1881" spans="1:1" ht="15.75" x14ac:dyDescent="0.25">
      <c r="A1881" s="41"/>
    </row>
    <row r="1882" spans="1:1" ht="15.75" x14ac:dyDescent="0.25">
      <c r="A1882" s="41"/>
    </row>
    <row r="1883" spans="1:1" ht="15.75" x14ac:dyDescent="0.25">
      <c r="A1883" s="41"/>
    </row>
    <row r="1884" spans="1:1" ht="15.75" x14ac:dyDescent="0.25">
      <c r="A1884" s="41"/>
    </row>
    <row r="1885" spans="1:1" ht="15.75" x14ac:dyDescent="0.25">
      <c r="A1885" s="41"/>
    </row>
    <row r="1886" spans="1:1" ht="15.75" x14ac:dyDescent="0.25">
      <c r="A1886" s="41"/>
    </row>
    <row r="1887" spans="1:1" ht="15.75" x14ac:dyDescent="0.25">
      <c r="A1887" s="41"/>
    </row>
    <row r="1888" spans="1:1" ht="15.75" x14ac:dyDescent="0.25">
      <c r="A1888" s="41"/>
    </row>
    <row r="1889" spans="1:1" ht="15.75" x14ac:dyDescent="0.25">
      <c r="A1889" s="41"/>
    </row>
    <row r="1890" spans="1:1" ht="15.75" x14ac:dyDescent="0.25">
      <c r="A1890" s="41"/>
    </row>
    <row r="1891" spans="1:1" ht="15.75" x14ac:dyDescent="0.25">
      <c r="A1891" s="41"/>
    </row>
    <row r="1892" spans="1:1" ht="15.75" x14ac:dyDescent="0.25">
      <c r="A1892" s="41"/>
    </row>
    <row r="1893" spans="1:1" ht="15.75" x14ac:dyDescent="0.25">
      <c r="A1893" s="41"/>
    </row>
    <row r="1894" spans="1:1" ht="15.75" x14ac:dyDescent="0.25">
      <c r="A1894" s="41"/>
    </row>
    <row r="1895" spans="1:1" ht="15.75" x14ac:dyDescent="0.25">
      <c r="A1895" s="41"/>
    </row>
    <row r="1896" spans="1:1" ht="15.75" x14ac:dyDescent="0.25">
      <c r="A1896" s="41"/>
    </row>
    <row r="1897" spans="1:1" ht="15.75" x14ac:dyDescent="0.25">
      <c r="A1897" s="41"/>
    </row>
    <row r="1898" spans="1:1" ht="15.75" x14ac:dyDescent="0.25">
      <c r="A1898" s="41"/>
    </row>
    <row r="1899" spans="1:1" ht="15.75" x14ac:dyDescent="0.25">
      <c r="A1899" s="41"/>
    </row>
    <row r="1900" spans="1:1" ht="15.75" x14ac:dyDescent="0.25">
      <c r="A1900" s="41"/>
    </row>
    <row r="1901" spans="1:1" ht="15.75" x14ac:dyDescent="0.25">
      <c r="A1901" s="41"/>
    </row>
    <row r="1902" spans="1:1" ht="15.75" x14ac:dyDescent="0.25">
      <c r="A1902" s="41"/>
    </row>
    <row r="1903" spans="1:1" ht="15.75" x14ac:dyDescent="0.25">
      <c r="A1903" s="41"/>
    </row>
    <row r="1904" spans="1:1" ht="15.75" x14ac:dyDescent="0.25">
      <c r="A1904" s="41"/>
    </row>
    <row r="1905" spans="1:1" ht="15.75" x14ac:dyDescent="0.25">
      <c r="A1905" s="41"/>
    </row>
    <row r="1906" spans="1:1" ht="15.75" x14ac:dyDescent="0.25">
      <c r="A1906" s="41"/>
    </row>
    <row r="1907" spans="1:1" ht="15.75" x14ac:dyDescent="0.25">
      <c r="A1907" s="41"/>
    </row>
    <row r="1908" spans="1:1" ht="15.75" x14ac:dyDescent="0.25">
      <c r="A1908" s="41"/>
    </row>
    <row r="1909" spans="1:1" ht="15.75" x14ac:dyDescent="0.25">
      <c r="A1909" s="41"/>
    </row>
    <row r="1910" spans="1:1" ht="15.75" x14ac:dyDescent="0.25">
      <c r="A1910" s="41"/>
    </row>
    <row r="1911" spans="1:1" ht="15.75" x14ac:dyDescent="0.25">
      <c r="A1911" s="41"/>
    </row>
    <row r="1912" spans="1:1" ht="15.75" x14ac:dyDescent="0.25">
      <c r="A1912" s="41"/>
    </row>
    <row r="1913" spans="1:1" ht="15.75" x14ac:dyDescent="0.25">
      <c r="A1913" s="41"/>
    </row>
    <row r="1914" spans="1:1" ht="15.75" x14ac:dyDescent="0.25">
      <c r="A1914" s="41"/>
    </row>
    <row r="1915" spans="1:1" ht="15.75" x14ac:dyDescent="0.25">
      <c r="A1915" s="41"/>
    </row>
    <row r="1916" spans="1:1" ht="15.75" x14ac:dyDescent="0.25">
      <c r="A1916" s="41"/>
    </row>
    <row r="1917" spans="1:1" ht="15.75" x14ac:dyDescent="0.25">
      <c r="A1917" s="41"/>
    </row>
    <row r="1918" spans="1:1" ht="15.75" x14ac:dyDescent="0.25">
      <c r="A1918" s="41"/>
    </row>
    <row r="1919" spans="1:1" ht="15.75" x14ac:dyDescent="0.25">
      <c r="A1919" s="41"/>
    </row>
    <row r="1920" spans="1:1" ht="15.75" x14ac:dyDescent="0.25">
      <c r="A1920" s="41"/>
    </row>
    <row r="1921" spans="1:1" ht="15.75" x14ac:dyDescent="0.25">
      <c r="A1921" s="41"/>
    </row>
    <row r="1922" spans="1:1" ht="15.75" x14ac:dyDescent="0.25">
      <c r="A1922" s="41"/>
    </row>
    <row r="1923" spans="1:1" ht="15.75" x14ac:dyDescent="0.25">
      <c r="A1923" s="41"/>
    </row>
    <row r="1924" spans="1:1" ht="15.75" x14ac:dyDescent="0.25">
      <c r="A1924" s="41"/>
    </row>
    <row r="1925" spans="1:1" ht="15.75" x14ac:dyDescent="0.25">
      <c r="A1925" s="41"/>
    </row>
    <row r="1926" spans="1:1" ht="15.75" x14ac:dyDescent="0.25">
      <c r="A1926" s="41"/>
    </row>
    <row r="1927" spans="1:1" ht="15.75" x14ac:dyDescent="0.25">
      <c r="A1927" s="41"/>
    </row>
    <row r="1928" spans="1:1" ht="15.75" x14ac:dyDescent="0.25">
      <c r="A1928" s="41"/>
    </row>
    <row r="1929" spans="1:1" ht="15.75" x14ac:dyDescent="0.25">
      <c r="A1929" s="41"/>
    </row>
    <row r="1930" spans="1:1" ht="15.75" x14ac:dyDescent="0.25">
      <c r="A1930" s="41"/>
    </row>
    <row r="1931" spans="1:1" ht="15.75" x14ac:dyDescent="0.25">
      <c r="A1931" s="41"/>
    </row>
    <row r="1932" spans="1:1" ht="15.75" x14ac:dyDescent="0.25">
      <c r="A1932" s="41"/>
    </row>
    <row r="1933" spans="1:1" ht="15.75" x14ac:dyDescent="0.25">
      <c r="A1933" s="41"/>
    </row>
    <row r="1934" spans="1:1" ht="15.75" x14ac:dyDescent="0.25">
      <c r="A1934" s="41"/>
    </row>
    <row r="1935" spans="1:1" ht="15.75" x14ac:dyDescent="0.25">
      <c r="A1935" s="41"/>
    </row>
    <row r="1936" spans="1:1" ht="15.75" x14ac:dyDescent="0.25">
      <c r="A1936" s="41"/>
    </row>
    <row r="1937" spans="1:1" ht="15.75" x14ac:dyDescent="0.25">
      <c r="A1937" s="41"/>
    </row>
    <row r="1938" spans="1:1" ht="15.75" x14ac:dyDescent="0.25">
      <c r="A1938" s="41"/>
    </row>
    <row r="1939" spans="1:1" ht="15.75" x14ac:dyDescent="0.25">
      <c r="A1939" s="41"/>
    </row>
    <row r="1940" spans="1:1" ht="15.75" x14ac:dyDescent="0.25">
      <c r="A1940" s="41"/>
    </row>
    <row r="1941" spans="1:1" ht="15.75" x14ac:dyDescent="0.25">
      <c r="A1941" s="41"/>
    </row>
    <row r="1942" spans="1:1" ht="15.75" x14ac:dyDescent="0.25">
      <c r="A1942" s="41"/>
    </row>
    <row r="1943" spans="1:1" ht="15.75" x14ac:dyDescent="0.25">
      <c r="A1943" s="41"/>
    </row>
    <row r="1944" spans="1:1" ht="15.75" x14ac:dyDescent="0.25">
      <c r="A1944" s="41"/>
    </row>
    <row r="1945" spans="1:1" ht="15.75" x14ac:dyDescent="0.25">
      <c r="A1945" s="41"/>
    </row>
    <row r="1946" spans="1:1" ht="15.75" x14ac:dyDescent="0.25">
      <c r="A1946" s="41"/>
    </row>
    <row r="1947" spans="1:1" ht="15.75" x14ac:dyDescent="0.25">
      <c r="A1947" s="41"/>
    </row>
    <row r="1948" spans="1:1" ht="15.75" x14ac:dyDescent="0.25">
      <c r="A1948" s="41"/>
    </row>
    <row r="1949" spans="1:1" ht="15.75" x14ac:dyDescent="0.25">
      <c r="A1949" s="41"/>
    </row>
    <row r="1950" spans="1:1" ht="15.75" x14ac:dyDescent="0.25">
      <c r="A1950" s="41"/>
    </row>
    <row r="1951" spans="1:1" ht="15.75" x14ac:dyDescent="0.25">
      <c r="A1951" s="41"/>
    </row>
    <row r="1952" spans="1:1" ht="15.75" x14ac:dyDescent="0.25">
      <c r="A1952" s="41"/>
    </row>
    <row r="1953" spans="1:1" ht="15.75" x14ac:dyDescent="0.25">
      <c r="A1953" s="41"/>
    </row>
    <row r="1954" spans="1:1" ht="15.75" x14ac:dyDescent="0.25">
      <c r="A1954" s="41"/>
    </row>
    <row r="1955" spans="1:1" ht="15.75" x14ac:dyDescent="0.25">
      <c r="A1955" s="41"/>
    </row>
    <row r="1956" spans="1:1" ht="15.75" x14ac:dyDescent="0.25">
      <c r="A1956" s="41"/>
    </row>
    <row r="1957" spans="1:1" ht="15.75" x14ac:dyDescent="0.25">
      <c r="A1957" s="41"/>
    </row>
    <row r="1958" spans="1:1" ht="15.75" x14ac:dyDescent="0.25">
      <c r="A1958" s="41"/>
    </row>
    <row r="1959" spans="1:1" ht="15.75" x14ac:dyDescent="0.25">
      <c r="A1959" s="41"/>
    </row>
    <row r="1960" spans="1:1" ht="15.75" x14ac:dyDescent="0.25">
      <c r="A1960" s="41"/>
    </row>
    <row r="1961" spans="1:1" ht="15.75" x14ac:dyDescent="0.25">
      <c r="A1961" s="41"/>
    </row>
    <row r="1962" spans="1:1" ht="15.75" x14ac:dyDescent="0.25">
      <c r="A1962" s="41"/>
    </row>
    <row r="1963" spans="1:1" ht="15.75" x14ac:dyDescent="0.25">
      <c r="A1963" s="41"/>
    </row>
    <row r="1964" spans="1:1" ht="15.75" x14ac:dyDescent="0.25">
      <c r="A1964" s="41"/>
    </row>
    <row r="1965" spans="1:1" ht="15.75" x14ac:dyDescent="0.25">
      <c r="A1965" s="41"/>
    </row>
    <row r="1966" spans="1:1" ht="15.75" x14ac:dyDescent="0.25">
      <c r="A1966" s="41"/>
    </row>
    <row r="1967" spans="1:1" ht="15.75" x14ac:dyDescent="0.25">
      <c r="A1967" s="41"/>
    </row>
    <row r="1968" spans="1:1" ht="15.75" x14ac:dyDescent="0.25">
      <c r="A1968" s="41"/>
    </row>
    <row r="1969" spans="1:1" ht="15.75" x14ac:dyDescent="0.25">
      <c r="A1969" s="41"/>
    </row>
    <row r="1970" spans="1:1" ht="15.75" x14ac:dyDescent="0.25">
      <c r="A1970" s="41"/>
    </row>
    <row r="1971" spans="1:1" ht="15.75" x14ac:dyDescent="0.25">
      <c r="A1971" s="41"/>
    </row>
    <row r="1972" spans="1:1" ht="15.75" x14ac:dyDescent="0.25">
      <c r="A1972" s="41"/>
    </row>
    <row r="1973" spans="1:1" ht="15.75" x14ac:dyDescent="0.25">
      <c r="A1973" s="41"/>
    </row>
    <row r="1974" spans="1:1" ht="15.75" x14ac:dyDescent="0.25">
      <c r="A1974" s="41"/>
    </row>
    <row r="1975" spans="1:1" ht="15.75" x14ac:dyDescent="0.25">
      <c r="A1975" s="41"/>
    </row>
    <row r="1976" spans="1:1" ht="15.75" x14ac:dyDescent="0.25">
      <c r="A1976" s="41"/>
    </row>
    <row r="1977" spans="1:1" ht="15.75" x14ac:dyDescent="0.25">
      <c r="A1977" s="41"/>
    </row>
    <row r="1978" spans="1:1" ht="15.75" x14ac:dyDescent="0.25">
      <c r="A1978" s="41"/>
    </row>
    <row r="1979" spans="1:1" ht="15.75" x14ac:dyDescent="0.25">
      <c r="A1979" s="41"/>
    </row>
    <row r="1980" spans="1:1" ht="15.75" x14ac:dyDescent="0.25">
      <c r="A1980" s="41"/>
    </row>
    <row r="1981" spans="1:1" ht="15.75" x14ac:dyDescent="0.25">
      <c r="A1981" s="41"/>
    </row>
    <row r="1982" spans="1:1" ht="15.75" x14ac:dyDescent="0.25">
      <c r="A1982" s="41"/>
    </row>
    <row r="1983" spans="1:1" ht="15.75" x14ac:dyDescent="0.25">
      <c r="A1983" s="41"/>
    </row>
    <row r="1984" spans="1:1" ht="15.75" x14ac:dyDescent="0.25">
      <c r="A1984" s="41"/>
    </row>
    <row r="1985" spans="1:1" ht="15.75" x14ac:dyDescent="0.25">
      <c r="A1985" s="41"/>
    </row>
    <row r="1986" spans="1:1" ht="15.75" x14ac:dyDescent="0.25">
      <c r="A1986" s="41"/>
    </row>
    <row r="1987" spans="1:1" ht="15.75" x14ac:dyDescent="0.25">
      <c r="A1987" s="41"/>
    </row>
    <row r="1988" spans="1:1" ht="15.75" x14ac:dyDescent="0.25">
      <c r="A1988" s="41"/>
    </row>
    <row r="1989" spans="1:1" ht="15.75" x14ac:dyDescent="0.25">
      <c r="A1989" s="41"/>
    </row>
    <row r="1990" spans="1:1" ht="15.75" x14ac:dyDescent="0.25">
      <c r="A1990" s="41"/>
    </row>
    <row r="1991" spans="1:1" ht="15.75" x14ac:dyDescent="0.25">
      <c r="A1991" s="41"/>
    </row>
    <row r="1992" spans="1:1" ht="15.75" x14ac:dyDescent="0.25">
      <c r="A1992" s="41"/>
    </row>
    <row r="1993" spans="1:1" ht="15.75" x14ac:dyDescent="0.25">
      <c r="A1993" s="41"/>
    </row>
    <row r="1994" spans="1:1" ht="15.75" x14ac:dyDescent="0.25">
      <c r="A1994" s="41"/>
    </row>
    <row r="1995" spans="1:1" ht="15.75" x14ac:dyDescent="0.25">
      <c r="A1995" s="41"/>
    </row>
    <row r="1996" spans="1:1" ht="15.75" x14ac:dyDescent="0.25">
      <c r="A1996" s="41"/>
    </row>
    <row r="1997" spans="1:1" ht="15.75" x14ac:dyDescent="0.25">
      <c r="A1997" s="41"/>
    </row>
    <row r="1998" spans="1:1" ht="15.75" x14ac:dyDescent="0.25">
      <c r="A1998" s="41"/>
    </row>
    <row r="1999" spans="1:1" ht="15.75" x14ac:dyDescent="0.25">
      <c r="A1999" s="41"/>
    </row>
    <row r="2000" spans="1:1" ht="15.75" x14ac:dyDescent="0.25">
      <c r="A2000" s="41"/>
    </row>
    <row r="2001" spans="1:1" ht="15.75" x14ac:dyDescent="0.25">
      <c r="A2001" s="41"/>
    </row>
    <row r="2002" spans="1:1" ht="15.75" x14ac:dyDescent="0.25">
      <c r="A2002" s="41"/>
    </row>
    <row r="2003" spans="1:1" ht="15.75" x14ac:dyDescent="0.25">
      <c r="A2003" s="41"/>
    </row>
    <row r="2004" spans="1:1" ht="15.75" x14ac:dyDescent="0.25">
      <c r="A2004" s="41"/>
    </row>
    <row r="2005" spans="1:1" ht="15.75" x14ac:dyDescent="0.25">
      <c r="A2005" s="41"/>
    </row>
    <row r="2006" spans="1:1" ht="15.75" x14ac:dyDescent="0.25">
      <c r="A2006" s="41"/>
    </row>
    <row r="2007" spans="1:1" ht="15.75" x14ac:dyDescent="0.25">
      <c r="A2007" s="41"/>
    </row>
    <row r="2008" spans="1:1" ht="15.75" x14ac:dyDescent="0.25">
      <c r="A2008" s="41"/>
    </row>
    <row r="2009" spans="1:1" ht="15.75" x14ac:dyDescent="0.25">
      <c r="A2009" s="41"/>
    </row>
    <row r="2010" spans="1:1" ht="15.75" x14ac:dyDescent="0.25">
      <c r="A2010" s="41"/>
    </row>
    <row r="2011" spans="1:1" ht="15.75" x14ac:dyDescent="0.25">
      <c r="A2011" s="41"/>
    </row>
    <row r="2012" spans="1:1" ht="15.75" x14ac:dyDescent="0.25">
      <c r="A2012" s="41"/>
    </row>
    <row r="2013" spans="1:1" ht="15.75" x14ac:dyDescent="0.25">
      <c r="A2013" s="41"/>
    </row>
    <row r="2014" spans="1:1" ht="15.75" x14ac:dyDescent="0.25">
      <c r="A2014" s="41"/>
    </row>
    <row r="2015" spans="1:1" ht="15.75" x14ac:dyDescent="0.25">
      <c r="A2015" s="41"/>
    </row>
    <row r="2016" spans="1:1" ht="15.75" x14ac:dyDescent="0.25">
      <c r="A2016" s="41"/>
    </row>
    <row r="2017" spans="1:1" ht="15.75" x14ac:dyDescent="0.25">
      <c r="A2017" s="41"/>
    </row>
    <row r="2018" spans="1:1" ht="15.75" x14ac:dyDescent="0.25">
      <c r="A2018" s="41"/>
    </row>
    <row r="2019" spans="1:1" ht="15.75" x14ac:dyDescent="0.25">
      <c r="A2019" s="41"/>
    </row>
    <row r="2020" spans="1:1" ht="15.75" x14ac:dyDescent="0.25">
      <c r="A2020" s="41"/>
    </row>
    <row r="2021" spans="1:1" ht="15.75" x14ac:dyDescent="0.25">
      <c r="A2021" s="41"/>
    </row>
    <row r="2022" spans="1:1" ht="15.75" x14ac:dyDescent="0.25">
      <c r="A2022" s="41"/>
    </row>
    <row r="2023" spans="1:1" ht="15.75" x14ac:dyDescent="0.25">
      <c r="A2023" s="41"/>
    </row>
    <row r="2024" spans="1:1" ht="15.75" x14ac:dyDescent="0.25">
      <c r="A2024" s="41"/>
    </row>
    <row r="2025" spans="1:1" ht="15.75" x14ac:dyDescent="0.25">
      <c r="A2025" s="41"/>
    </row>
    <row r="2026" spans="1:1" ht="15.75" x14ac:dyDescent="0.25">
      <c r="A2026" s="41"/>
    </row>
    <row r="2027" spans="1:1" ht="15.75" x14ac:dyDescent="0.25">
      <c r="A2027" s="41"/>
    </row>
    <row r="2028" spans="1:1" ht="15.75" x14ac:dyDescent="0.25">
      <c r="A2028" s="41"/>
    </row>
    <row r="2029" spans="1:1" ht="15.75" x14ac:dyDescent="0.25">
      <c r="A2029" s="41"/>
    </row>
    <row r="2030" spans="1:1" ht="15.75" x14ac:dyDescent="0.25">
      <c r="A2030" s="41"/>
    </row>
    <row r="2031" spans="1:1" ht="15.75" x14ac:dyDescent="0.25">
      <c r="A2031" s="41"/>
    </row>
    <row r="2032" spans="1:1" ht="15.75" x14ac:dyDescent="0.25">
      <c r="A2032" s="41"/>
    </row>
    <row r="2033" spans="1:1" ht="15.75" x14ac:dyDescent="0.25">
      <c r="A2033" s="41"/>
    </row>
    <row r="2034" spans="1:1" ht="15.75" x14ac:dyDescent="0.25">
      <c r="A2034" s="41"/>
    </row>
    <row r="2035" spans="1:1" ht="15.75" x14ac:dyDescent="0.25">
      <c r="A2035" s="41"/>
    </row>
    <row r="2036" spans="1:1" ht="15.75" x14ac:dyDescent="0.25">
      <c r="A2036" s="41"/>
    </row>
    <row r="2037" spans="1:1" ht="15.75" x14ac:dyDescent="0.25">
      <c r="A2037" s="41"/>
    </row>
    <row r="2038" spans="1:1" ht="15.75" x14ac:dyDescent="0.25">
      <c r="A2038" s="41"/>
    </row>
    <row r="2039" spans="1:1" ht="15.75" x14ac:dyDescent="0.25">
      <c r="A2039" s="41"/>
    </row>
    <row r="2040" spans="1:1" ht="15.75" x14ac:dyDescent="0.25">
      <c r="A2040" s="41"/>
    </row>
    <row r="2041" spans="1:1" ht="15.75" x14ac:dyDescent="0.25">
      <c r="A2041" s="41"/>
    </row>
    <row r="2042" spans="1:1" ht="15.75" x14ac:dyDescent="0.25">
      <c r="A2042" s="41"/>
    </row>
    <row r="2043" spans="1:1" ht="15.75" x14ac:dyDescent="0.25">
      <c r="A2043" s="41"/>
    </row>
    <row r="2044" spans="1:1" ht="15.75" x14ac:dyDescent="0.25">
      <c r="A2044" s="41"/>
    </row>
    <row r="2045" spans="1:1" ht="15.75" x14ac:dyDescent="0.25">
      <c r="A2045" s="41"/>
    </row>
    <row r="2046" spans="1:1" ht="15.75" x14ac:dyDescent="0.25">
      <c r="A2046" s="41"/>
    </row>
    <row r="2047" spans="1:1" ht="15.75" x14ac:dyDescent="0.25">
      <c r="A2047" s="41"/>
    </row>
    <row r="2048" spans="1:1" ht="15.75" x14ac:dyDescent="0.25">
      <c r="A2048" s="41"/>
    </row>
    <row r="2049" spans="1:1" ht="15.75" x14ac:dyDescent="0.25">
      <c r="A2049" s="41"/>
    </row>
    <row r="2050" spans="1:1" ht="15.75" x14ac:dyDescent="0.25">
      <c r="A2050" s="41"/>
    </row>
    <row r="2051" spans="1:1" ht="15.75" x14ac:dyDescent="0.25">
      <c r="A2051" s="41"/>
    </row>
    <row r="2052" spans="1:1" ht="15.75" x14ac:dyDescent="0.25">
      <c r="A2052" s="41"/>
    </row>
    <row r="2053" spans="1:1" ht="15.75" x14ac:dyDescent="0.25">
      <c r="A2053" s="41"/>
    </row>
    <row r="2054" spans="1:1" ht="15.75" x14ac:dyDescent="0.25">
      <c r="A2054" s="41"/>
    </row>
    <row r="2055" spans="1:1" ht="15.75" x14ac:dyDescent="0.25">
      <c r="A2055" s="41"/>
    </row>
    <row r="2056" spans="1:1" ht="15.75" x14ac:dyDescent="0.25">
      <c r="A2056" s="41"/>
    </row>
    <row r="2057" spans="1:1" ht="15.75" x14ac:dyDescent="0.25">
      <c r="A2057" s="41"/>
    </row>
    <row r="2058" spans="1:1" ht="15.75" x14ac:dyDescent="0.25">
      <c r="A2058" s="41"/>
    </row>
    <row r="2059" spans="1:1" ht="15.75" x14ac:dyDescent="0.25">
      <c r="A2059" s="41"/>
    </row>
    <row r="2060" spans="1:1" ht="15.75" x14ac:dyDescent="0.25">
      <c r="A2060" s="41"/>
    </row>
    <row r="2061" spans="1:1" ht="15.75" x14ac:dyDescent="0.25">
      <c r="A2061" s="41"/>
    </row>
    <row r="2062" spans="1:1" ht="15.75" x14ac:dyDescent="0.25">
      <c r="A2062" s="41"/>
    </row>
    <row r="2063" spans="1:1" ht="15.75" x14ac:dyDescent="0.25">
      <c r="A2063" s="41"/>
    </row>
    <row r="2064" spans="1:1" ht="15.75" x14ac:dyDescent="0.25">
      <c r="A2064" s="41"/>
    </row>
    <row r="2065" spans="1:1" ht="15.75" x14ac:dyDescent="0.25">
      <c r="A2065" s="41"/>
    </row>
    <row r="2066" spans="1:1" ht="15.75" x14ac:dyDescent="0.25">
      <c r="A2066" s="41"/>
    </row>
    <row r="2067" spans="1:1" ht="15.75" x14ac:dyDescent="0.25">
      <c r="A2067" s="41"/>
    </row>
    <row r="2068" spans="1:1" ht="15.75" x14ac:dyDescent="0.25">
      <c r="A2068" s="41"/>
    </row>
    <row r="2069" spans="1:1" ht="15.75" x14ac:dyDescent="0.25">
      <c r="A2069" s="41"/>
    </row>
    <row r="2070" spans="1:1" ht="15.75" x14ac:dyDescent="0.25">
      <c r="A2070" s="41"/>
    </row>
    <row r="2071" spans="1:1" ht="15.75" x14ac:dyDescent="0.25">
      <c r="A2071" s="41"/>
    </row>
    <row r="2072" spans="1:1" ht="15.75" x14ac:dyDescent="0.25">
      <c r="A2072" s="41"/>
    </row>
    <row r="2073" spans="1:1" ht="15.75" x14ac:dyDescent="0.25">
      <c r="A2073" s="41"/>
    </row>
    <row r="2074" spans="1:1" ht="15.75" x14ac:dyDescent="0.25">
      <c r="A2074" s="41"/>
    </row>
    <row r="2075" spans="1:1" ht="15.75" x14ac:dyDescent="0.25">
      <c r="A2075" s="41"/>
    </row>
    <row r="2076" spans="1:1" ht="15.75" x14ac:dyDescent="0.25">
      <c r="A2076" s="41"/>
    </row>
    <row r="2077" spans="1:1" ht="15.75" x14ac:dyDescent="0.25">
      <c r="A2077" s="41"/>
    </row>
    <row r="2078" spans="1:1" ht="15.75" x14ac:dyDescent="0.25">
      <c r="A2078" s="41"/>
    </row>
    <row r="2079" spans="1:1" ht="15.75" x14ac:dyDescent="0.25">
      <c r="A2079" s="41"/>
    </row>
    <row r="2080" spans="1:1" ht="15.75" x14ac:dyDescent="0.25">
      <c r="A2080" s="41"/>
    </row>
    <row r="2081" spans="1:1" ht="15.75" x14ac:dyDescent="0.25">
      <c r="A2081" s="41"/>
    </row>
    <row r="2082" spans="1:1" ht="15.75" x14ac:dyDescent="0.25">
      <c r="A2082" s="41"/>
    </row>
    <row r="2083" spans="1:1" ht="15.75" x14ac:dyDescent="0.25">
      <c r="A2083" s="41"/>
    </row>
    <row r="2084" spans="1:1" ht="15.75" x14ac:dyDescent="0.25">
      <c r="A2084" s="41"/>
    </row>
    <row r="2085" spans="1:1" ht="15.75" x14ac:dyDescent="0.25">
      <c r="A2085" s="41"/>
    </row>
    <row r="2086" spans="1:1" ht="15.75" x14ac:dyDescent="0.25">
      <c r="A2086" s="41"/>
    </row>
    <row r="2087" spans="1:1" ht="15.75" x14ac:dyDescent="0.25">
      <c r="A2087" s="41"/>
    </row>
    <row r="2088" spans="1:1" ht="15.75" x14ac:dyDescent="0.25">
      <c r="A2088" s="41"/>
    </row>
    <row r="2089" spans="1:1" ht="15.75" x14ac:dyDescent="0.25">
      <c r="A2089" s="41"/>
    </row>
    <row r="2090" spans="1:1" ht="15.75" x14ac:dyDescent="0.25">
      <c r="A2090" s="41"/>
    </row>
    <row r="2091" spans="1:1" ht="15.75" x14ac:dyDescent="0.25">
      <c r="A2091" s="41"/>
    </row>
    <row r="2092" spans="1:1" ht="15.75" x14ac:dyDescent="0.25">
      <c r="A2092" s="41"/>
    </row>
    <row r="2093" spans="1:1" ht="15.75" x14ac:dyDescent="0.25">
      <c r="A2093" s="41"/>
    </row>
    <row r="2094" spans="1:1" ht="15.75" x14ac:dyDescent="0.25">
      <c r="A2094" s="41"/>
    </row>
    <row r="2095" spans="1:1" ht="15.75" x14ac:dyDescent="0.25">
      <c r="A2095" s="41"/>
    </row>
    <row r="2096" spans="1:1" ht="15.75" x14ac:dyDescent="0.25">
      <c r="A2096" s="41"/>
    </row>
    <row r="2097" spans="1:1" ht="15.75" x14ac:dyDescent="0.25">
      <c r="A2097" s="41"/>
    </row>
    <row r="2098" spans="1:1" ht="15.75" x14ac:dyDescent="0.25">
      <c r="A2098" s="41"/>
    </row>
    <row r="2099" spans="1:1" ht="15.75" x14ac:dyDescent="0.25">
      <c r="A2099" s="41"/>
    </row>
    <row r="2100" spans="1:1" ht="15.75" x14ac:dyDescent="0.25">
      <c r="A2100" s="41"/>
    </row>
    <row r="2101" spans="1:1" ht="15.75" x14ac:dyDescent="0.25">
      <c r="A2101" s="41"/>
    </row>
    <row r="2102" spans="1:1" ht="15.75" x14ac:dyDescent="0.25">
      <c r="A2102" s="41"/>
    </row>
    <row r="2103" spans="1:1" ht="15.75" x14ac:dyDescent="0.25">
      <c r="A2103" s="41"/>
    </row>
    <row r="2104" spans="1:1" ht="15.75" x14ac:dyDescent="0.25">
      <c r="A2104" s="41"/>
    </row>
    <row r="2105" spans="1:1" ht="15.75" x14ac:dyDescent="0.25">
      <c r="A2105" s="41"/>
    </row>
    <row r="2106" spans="1:1" ht="15.75" x14ac:dyDescent="0.25">
      <c r="A2106" s="41"/>
    </row>
    <row r="2107" spans="1:1" ht="15.75" x14ac:dyDescent="0.25">
      <c r="A2107" s="41"/>
    </row>
    <row r="2108" spans="1:1" ht="15.75" x14ac:dyDescent="0.25">
      <c r="A2108" s="41"/>
    </row>
    <row r="2109" spans="1:1" ht="15.75" x14ac:dyDescent="0.25">
      <c r="A2109" s="41"/>
    </row>
    <row r="2110" spans="1:1" ht="15.75" x14ac:dyDescent="0.25">
      <c r="A2110" s="41"/>
    </row>
    <row r="2111" spans="1:1" ht="15.75" x14ac:dyDescent="0.25">
      <c r="A2111" s="41"/>
    </row>
    <row r="2112" spans="1:1" ht="15.75" x14ac:dyDescent="0.25">
      <c r="A2112" s="41"/>
    </row>
    <row r="2113" spans="1:1" ht="15.75" x14ac:dyDescent="0.25">
      <c r="A2113" s="41"/>
    </row>
    <row r="2114" spans="1:1" ht="15.75" x14ac:dyDescent="0.25">
      <c r="A2114" s="41"/>
    </row>
    <row r="2115" spans="1:1" ht="15.75" x14ac:dyDescent="0.25">
      <c r="A2115" s="41"/>
    </row>
    <row r="2116" spans="1:1" ht="15.75" x14ac:dyDescent="0.25">
      <c r="A2116" s="41"/>
    </row>
    <row r="2117" spans="1:1" ht="15.75" x14ac:dyDescent="0.25">
      <c r="A2117" s="41"/>
    </row>
    <row r="2118" spans="1:1" ht="15.75" x14ac:dyDescent="0.25">
      <c r="A2118" s="41"/>
    </row>
    <row r="2119" spans="1:1" ht="15.75" x14ac:dyDescent="0.25">
      <c r="A2119" s="41"/>
    </row>
    <row r="2120" spans="1:1" ht="15.75" x14ac:dyDescent="0.25">
      <c r="A2120" s="41"/>
    </row>
    <row r="2121" spans="1:1" ht="15.75" x14ac:dyDescent="0.25">
      <c r="A2121" s="41"/>
    </row>
    <row r="2122" spans="1:1" ht="15.75" x14ac:dyDescent="0.25">
      <c r="A2122" s="41"/>
    </row>
    <row r="2123" spans="1:1" ht="15.75" x14ac:dyDescent="0.25">
      <c r="A2123" s="41"/>
    </row>
    <row r="2124" spans="1:1" ht="15.75" x14ac:dyDescent="0.25">
      <c r="A2124" s="41"/>
    </row>
    <row r="2125" spans="1:1" ht="15.75" x14ac:dyDescent="0.25">
      <c r="A2125" s="41"/>
    </row>
    <row r="2126" spans="1:1" ht="15.75" x14ac:dyDescent="0.25">
      <c r="A2126" s="41"/>
    </row>
    <row r="2127" spans="1:1" ht="15.75" x14ac:dyDescent="0.25">
      <c r="A2127" s="41"/>
    </row>
    <row r="2128" spans="1:1" ht="15.75" x14ac:dyDescent="0.25">
      <c r="A2128" s="41"/>
    </row>
    <row r="2129" spans="1:1" ht="15.75" x14ac:dyDescent="0.25">
      <c r="A2129" s="41"/>
    </row>
    <row r="2130" spans="1:1" ht="15.75" x14ac:dyDescent="0.25">
      <c r="A2130" s="41"/>
    </row>
    <row r="2131" spans="1:1" ht="15.75" x14ac:dyDescent="0.25">
      <c r="A2131" s="41"/>
    </row>
    <row r="2132" spans="1:1" ht="15.75" x14ac:dyDescent="0.25">
      <c r="A2132" s="41"/>
    </row>
    <row r="2133" spans="1:1" ht="15.75" x14ac:dyDescent="0.25">
      <c r="A2133" s="41"/>
    </row>
    <row r="2134" spans="1:1" ht="15.75" x14ac:dyDescent="0.25">
      <c r="A2134" s="41"/>
    </row>
    <row r="2135" spans="1:1" ht="15.75" x14ac:dyDescent="0.25">
      <c r="A2135" s="41"/>
    </row>
    <row r="2136" spans="1:1" ht="15.75" x14ac:dyDescent="0.25">
      <c r="A2136" s="41"/>
    </row>
    <row r="2137" spans="1:1" ht="15.75" x14ac:dyDescent="0.25">
      <c r="A2137" s="41"/>
    </row>
    <row r="2138" spans="1:1" ht="15.75" x14ac:dyDescent="0.25">
      <c r="A2138" s="41"/>
    </row>
    <row r="2139" spans="1:1" ht="15.75" x14ac:dyDescent="0.25">
      <c r="A2139" s="41"/>
    </row>
    <row r="2140" spans="1:1" ht="15.75" x14ac:dyDescent="0.25">
      <c r="A2140" s="41"/>
    </row>
    <row r="2141" spans="1:1" ht="15.75" x14ac:dyDescent="0.25">
      <c r="A2141" s="41"/>
    </row>
    <row r="2142" spans="1:1" ht="15.75" x14ac:dyDescent="0.25">
      <c r="A2142" s="41"/>
    </row>
    <row r="2143" spans="1:1" ht="15.75" x14ac:dyDescent="0.25">
      <c r="A2143" s="41"/>
    </row>
    <row r="2144" spans="1:1" ht="15.75" x14ac:dyDescent="0.25">
      <c r="A2144" s="41"/>
    </row>
    <row r="2145" spans="1:1" ht="15.75" x14ac:dyDescent="0.25">
      <c r="A2145" s="41"/>
    </row>
    <row r="2146" spans="1:1" ht="15.75" x14ac:dyDescent="0.25">
      <c r="A2146" s="41"/>
    </row>
    <row r="2147" spans="1:1" ht="15.75" x14ac:dyDescent="0.25">
      <c r="A2147" s="41"/>
    </row>
    <row r="2148" spans="1:1" ht="15.75" x14ac:dyDescent="0.25">
      <c r="A2148" s="41"/>
    </row>
    <row r="2149" spans="1:1" ht="15.75" x14ac:dyDescent="0.25">
      <c r="A2149" s="41"/>
    </row>
    <row r="2150" spans="1:1" ht="15.75" x14ac:dyDescent="0.25">
      <c r="A2150" s="41"/>
    </row>
    <row r="2151" spans="1:1" ht="15.75" x14ac:dyDescent="0.25">
      <c r="A2151" s="41"/>
    </row>
    <row r="2152" spans="1:1" ht="15.75" x14ac:dyDescent="0.25">
      <c r="A2152" s="41"/>
    </row>
    <row r="2153" spans="1:1" ht="15.75" x14ac:dyDescent="0.25">
      <c r="A2153" s="41"/>
    </row>
    <row r="2154" spans="1:1" ht="15.75" x14ac:dyDescent="0.25">
      <c r="A2154" s="41"/>
    </row>
    <row r="2155" spans="1:1" ht="15.75" x14ac:dyDescent="0.25">
      <c r="A2155" s="41"/>
    </row>
    <row r="2156" spans="1:1" ht="15.75" x14ac:dyDescent="0.25">
      <c r="A2156" s="41"/>
    </row>
    <row r="2157" spans="1:1" ht="15.75" x14ac:dyDescent="0.25">
      <c r="A2157" s="41"/>
    </row>
    <row r="2158" spans="1:1" ht="15.75" x14ac:dyDescent="0.25">
      <c r="A2158" s="41"/>
    </row>
    <row r="2159" spans="1:1" ht="15.75" x14ac:dyDescent="0.25">
      <c r="A2159" s="41"/>
    </row>
    <row r="2160" spans="1:1" ht="15.75" x14ac:dyDescent="0.25">
      <c r="A2160" s="41"/>
    </row>
    <row r="2161" spans="1:1" ht="15.75" x14ac:dyDescent="0.25">
      <c r="A2161" s="41"/>
    </row>
    <row r="2162" spans="1:1" ht="15.75" x14ac:dyDescent="0.25">
      <c r="A2162" s="41"/>
    </row>
    <row r="2163" spans="1:1" ht="15.75" x14ac:dyDescent="0.25">
      <c r="A2163" s="41"/>
    </row>
    <row r="2164" spans="1:1" ht="15.75" x14ac:dyDescent="0.25">
      <c r="A2164" s="41"/>
    </row>
    <row r="2165" spans="1:1" ht="15.75" x14ac:dyDescent="0.25">
      <c r="A2165" s="41"/>
    </row>
    <row r="2166" spans="1:1" ht="15.75" x14ac:dyDescent="0.25">
      <c r="A2166" s="41"/>
    </row>
    <row r="2167" spans="1:1" ht="15.75" x14ac:dyDescent="0.25">
      <c r="A2167" s="41"/>
    </row>
    <row r="2168" spans="1:1" ht="15.75" x14ac:dyDescent="0.25">
      <c r="A2168" s="41"/>
    </row>
    <row r="2169" spans="1:1" ht="15.75" x14ac:dyDescent="0.25">
      <c r="A2169" s="41"/>
    </row>
    <row r="2170" spans="1:1" ht="15.75" x14ac:dyDescent="0.25">
      <c r="A2170" s="41"/>
    </row>
    <row r="2171" spans="1:1" ht="15.75" x14ac:dyDescent="0.25">
      <c r="A2171" s="41"/>
    </row>
    <row r="2172" spans="1:1" ht="15.75" x14ac:dyDescent="0.25">
      <c r="A2172" s="41"/>
    </row>
    <row r="2173" spans="1:1" ht="15.75" x14ac:dyDescent="0.25">
      <c r="A2173" s="41"/>
    </row>
    <row r="2174" spans="1:1" ht="15.75" x14ac:dyDescent="0.25">
      <c r="A2174" s="41"/>
    </row>
    <row r="2175" spans="1:1" ht="15.75" x14ac:dyDescent="0.25">
      <c r="A2175" s="41"/>
    </row>
    <row r="2176" spans="1:1" ht="15.75" x14ac:dyDescent="0.25">
      <c r="A2176" s="41"/>
    </row>
    <row r="2177" spans="1:1" ht="15.75" x14ac:dyDescent="0.25">
      <c r="A2177" s="41"/>
    </row>
    <row r="2178" spans="1:1" ht="15.75" x14ac:dyDescent="0.25">
      <c r="A2178" s="41"/>
    </row>
    <row r="2179" spans="1:1" ht="15.75" x14ac:dyDescent="0.25">
      <c r="A2179" s="41"/>
    </row>
    <row r="2180" spans="1:1" ht="15.75" x14ac:dyDescent="0.25">
      <c r="A2180" s="41"/>
    </row>
    <row r="2181" spans="1:1" ht="15.75" x14ac:dyDescent="0.25">
      <c r="A2181" s="41"/>
    </row>
    <row r="2182" spans="1:1" ht="15.75" x14ac:dyDescent="0.25">
      <c r="A2182" s="41"/>
    </row>
    <row r="2183" spans="1:1" ht="15.75" x14ac:dyDescent="0.25">
      <c r="A2183" s="41"/>
    </row>
    <row r="2184" spans="1:1" ht="15.75" x14ac:dyDescent="0.25">
      <c r="A2184" s="41"/>
    </row>
    <row r="2185" spans="1:1" ht="15.75" x14ac:dyDescent="0.25">
      <c r="A2185" s="41"/>
    </row>
    <row r="2186" spans="1:1" ht="15.75" x14ac:dyDescent="0.25">
      <c r="A2186" s="41"/>
    </row>
    <row r="2187" spans="1:1" ht="15.75" x14ac:dyDescent="0.25">
      <c r="A2187" s="41"/>
    </row>
    <row r="2188" spans="1:1" ht="15.75" x14ac:dyDescent="0.25">
      <c r="A2188" s="41"/>
    </row>
    <row r="2189" spans="1:1" ht="15.75" x14ac:dyDescent="0.25">
      <c r="A2189" s="41"/>
    </row>
    <row r="2190" spans="1:1" ht="15.75" x14ac:dyDescent="0.25">
      <c r="A2190" s="41"/>
    </row>
    <row r="2191" spans="1:1" ht="15.75" x14ac:dyDescent="0.25">
      <c r="A2191" s="41"/>
    </row>
    <row r="2192" spans="1:1" ht="15.75" x14ac:dyDescent="0.25">
      <c r="A2192" s="41"/>
    </row>
    <row r="2193" spans="1:1" ht="15.75" x14ac:dyDescent="0.25">
      <c r="A2193" s="41"/>
    </row>
    <row r="2194" spans="1:1" ht="15.75" x14ac:dyDescent="0.25">
      <c r="A2194" s="41"/>
    </row>
    <row r="2195" spans="1:1" ht="15.75" x14ac:dyDescent="0.25">
      <c r="A2195" s="41"/>
    </row>
    <row r="2196" spans="1:1" ht="15.75" x14ac:dyDescent="0.25">
      <c r="A2196" s="41"/>
    </row>
    <row r="2197" spans="1:1" ht="15.75" x14ac:dyDescent="0.25">
      <c r="A2197" s="41"/>
    </row>
    <row r="2198" spans="1:1" ht="15.75" x14ac:dyDescent="0.25">
      <c r="A2198" s="41"/>
    </row>
    <row r="2199" spans="1:1" ht="15.75" x14ac:dyDescent="0.25">
      <c r="A2199" s="41"/>
    </row>
    <row r="2200" spans="1:1" ht="15.75" x14ac:dyDescent="0.25">
      <c r="A2200" s="41"/>
    </row>
    <row r="2201" spans="1:1" ht="15.75" x14ac:dyDescent="0.25">
      <c r="A2201" s="41"/>
    </row>
    <row r="2202" spans="1:1" ht="15.75" x14ac:dyDescent="0.25">
      <c r="A2202" s="41"/>
    </row>
    <row r="2203" spans="1:1" ht="15.75" x14ac:dyDescent="0.25">
      <c r="A2203" s="41"/>
    </row>
    <row r="2204" spans="1:1" ht="15.75" x14ac:dyDescent="0.25">
      <c r="A2204" s="41"/>
    </row>
    <row r="2205" spans="1:1" ht="15.75" x14ac:dyDescent="0.25">
      <c r="A2205" s="41"/>
    </row>
    <row r="2206" spans="1:1" ht="15.75" x14ac:dyDescent="0.25">
      <c r="A2206" s="41"/>
    </row>
    <row r="2207" spans="1:1" ht="15.75" x14ac:dyDescent="0.25">
      <c r="A2207" s="41"/>
    </row>
    <row r="2208" spans="1:1" ht="15.75" x14ac:dyDescent="0.25">
      <c r="A2208" s="41"/>
    </row>
    <row r="2209" spans="1:1" ht="15.75" x14ac:dyDescent="0.25">
      <c r="A2209" s="41"/>
    </row>
    <row r="2210" spans="1:1" ht="15.75" x14ac:dyDescent="0.25">
      <c r="A2210" s="41"/>
    </row>
    <row r="2211" spans="1:1" ht="15.75" x14ac:dyDescent="0.25">
      <c r="A2211" s="41"/>
    </row>
    <row r="2212" spans="1:1" ht="15.75" x14ac:dyDescent="0.25">
      <c r="A2212" s="41"/>
    </row>
    <row r="2213" spans="1:1" ht="15.75" x14ac:dyDescent="0.25">
      <c r="A2213" s="41"/>
    </row>
    <row r="2214" spans="1:1" ht="15.75" x14ac:dyDescent="0.25">
      <c r="A2214" s="41"/>
    </row>
    <row r="2215" spans="1:1" ht="15.75" x14ac:dyDescent="0.25">
      <c r="A2215" s="41"/>
    </row>
    <row r="2216" spans="1:1" ht="15.75" x14ac:dyDescent="0.25">
      <c r="A2216" s="41"/>
    </row>
    <row r="2217" spans="1:1" ht="15.75" x14ac:dyDescent="0.25">
      <c r="A2217" s="41"/>
    </row>
    <row r="2218" spans="1:1" ht="15.75" x14ac:dyDescent="0.25">
      <c r="A2218" s="41"/>
    </row>
    <row r="2219" spans="1:1" ht="15.75" x14ac:dyDescent="0.25">
      <c r="A2219" s="41"/>
    </row>
    <row r="2220" spans="1:1" ht="15.75" x14ac:dyDescent="0.25">
      <c r="A2220" s="41"/>
    </row>
    <row r="2221" spans="1:1" ht="15.75" x14ac:dyDescent="0.25">
      <c r="A2221" s="41"/>
    </row>
    <row r="2222" spans="1:1" ht="15.75" x14ac:dyDescent="0.25">
      <c r="A2222" s="41"/>
    </row>
    <row r="2223" spans="1:1" ht="15.75" x14ac:dyDescent="0.25">
      <c r="A2223" s="41"/>
    </row>
    <row r="2224" spans="1:1" ht="15.75" x14ac:dyDescent="0.25">
      <c r="A2224" s="41"/>
    </row>
    <row r="2225" spans="1:1" ht="15.75" x14ac:dyDescent="0.25">
      <c r="A2225" s="41"/>
    </row>
    <row r="2226" spans="1:1" ht="15.75" x14ac:dyDescent="0.25">
      <c r="A2226" s="41"/>
    </row>
    <row r="2227" spans="1:1" ht="15.75" x14ac:dyDescent="0.25">
      <c r="A2227" s="41"/>
    </row>
    <row r="2228" spans="1:1" ht="15.75" x14ac:dyDescent="0.25">
      <c r="A2228" s="41"/>
    </row>
    <row r="2229" spans="1:1" ht="15.75" x14ac:dyDescent="0.25">
      <c r="A2229" s="41"/>
    </row>
    <row r="2230" spans="1:1" ht="15.75" x14ac:dyDescent="0.25">
      <c r="A2230" s="41"/>
    </row>
    <row r="2231" spans="1:1" ht="15.75" x14ac:dyDescent="0.25">
      <c r="A2231" s="41"/>
    </row>
    <row r="2232" spans="1:1" ht="15.75" x14ac:dyDescent="0.25">
      <c r="A2232" s="41"/>
    </row>
    <row r="2233" spans="1:1" ht="15.75" x14ac:dyDescent="0.25">
      <c r="A2233" s="41"/>
    </row>
    <row r="2234" spans="1:1" ht="15.75" x14ac:dyDescent="0.25">
      <c r="A2234" s="41"/>
    </row>
    <row r="2235" spans="1:1" ht="15.75" x14ac:dyDescent="0.25">
      <c r="A2235" s="41"/>
    </row>
    <row r="2236" spans="1:1" ht="15.75" x14ac:dyDescent="0.25">
      <c r="A2236" s="41"/>
    </row>
    <row r="2237" spans="1:1" ht="15.75" x14ac:dyDescent="0.25">
      <c r="A2237" s="41"/>
    </row>
    <row r="2238" spans="1:1" ht="15.75" x14ac:dyDescent="0.25">
      <c r="A2238" s="41"/>
    </row>
    <row r="2239" spans="1:1" ht="15.75" x14ac:dyDescent="0.25">
      <c r="A2239" s="41"/>
    </row>
    <row r="2240" spans="1:1" ht="15.75" x14ac:dyDescent="0.25">
      <c r="A2240" s="41"/>
    </row>
    <row r="2241" spans="1:1" ht="15.75" x14ac:dyDescent="0.25">
      <c r="A2241" s="41"/>
    </row>
    <row r="2242" spans="1:1" ht="15.75" x14ac:dyDescent="0.25">
      <c r="A2242" s="41"/>
    </row>
    <row r="2243" spans="1:1" ht="15.75" x14ac:dyDescent="0.25">
      <c r="A2243" s="41"/>
    </row>
    <row r="2244" spans="1:1" ht="15.75" x14ac:dyDescent="0.25">
      <c r="A2244" s="41"/>
    </row>
    <row r="2245" spans="1:1" ht="15.75" x14ac:dyDescent="0.25">
      <c r="A2245" s="41"/>
    </row>
    <row r="2246" spans="1:1" ht="15.75" x14ac:dyDescent="0.25">
      <c r="A2246" s="41"/>
    </row>
    <row r="2247" spans="1:1" ht="15.75" x14ac:dyDescent="0.25">
      <c r="A2247" s="41"/>
    </row>
    <row r="2248" spans="1:1" ht="15.75" x14ac:dyDescent="0.25">
      <c r="A2248" s="41"/>
    </row>
    <row r="2249" spans="1:1" ht="15.75" x14ac:dyDescent="0.25">
      <c r="A2249" s="41"/>
    </row>
    <row r="2250" spans="1:1" ht="15.75" x14ac:dyDescent="0.25">
      <c r="A2250" s="41"/>
    </row>
    <row r="2251" spans="1:1" ht="15.75" x14ac:dyDescent="0.25">
      <c r="A2251" s="41"/>
    </row>
    <row r="2252" spans="1:1" ht="15.75" x14ac:dyDescent="0.25">
      <c r="A2252" s="41"/>
    </row>
    <row r="2253" spans="1:1" ht="15.75" x14ac:dyDescent="0.25">
      <c r="A2253" s="41"/>
    </row>
    <row r="2254" spans="1:1" ht="15.75" x14ac:dyDescent="0.25">
      <c r="A2254" s="41"/>
    </row>
    <row r="2255" spans="1:1" ht="15.75" x14ac:dyDescent="0.25">
      <c r="A2255" s="41"/>
    </row>
    <row r="2256" spans="1:1" ht="15.75" x14ac:dyDescent="0.25">
      <c r="A2256" s="41"/>
    </row>
    <row r="2257" spans="1:1" ht="15.75" x14ac:dyDescent="0.25">
      <c r="A2257" s="41"/>
    </row>
    <row r="2258" spans="1:1" ht="15.75" x14ac:dyDescent="0.25">
      <c r="A2258" s="41"/>
    </row>
    <row r="2259" spans="1:1" ht="15.75" x14ac:dyDescent="0.25">
      <c r="A2259" s="41"/>
    </row>
    <row r="2260" spans="1:1" ht="15.75" x14ac:dyDescent="0.25">
      <c r="A2260" s="41"/>
    </row>
    <row r="2261" spans="1:1" ht="15.75" x14ac:dyDescent="0.25">
      <c r="A2261" s="41"/>
    </row>
    <row r="2262" spans="1:1" ht="15.75" x14ac:dyDescent="0.25">
      <c r="A2262" s="41"/>
    </row>
    <row r="2263" spans="1:1" ht="15.75" x14ac:dyDescent="0.25">
      <c r="A2263" s="41"/>
    </row>
    <row r="2264" spans="1:1" ht="15.75" x14ac:dyDescent="0.25">
      <c r="A2264" s="41"/>
    </row>
    <row r="2265" spans="1:1" ht="15.75" x14ac:dyDescent="0.25">
      <c r="A2265" s="41"/>
    </row>
    <row r="2266" spans="1:1" ht="15.75" x14ac:dyDescent="0.25">
      <c r="A2266" s="41"/>
    </row>
    <row r="2267" spans="1:1" ht="15.75" x14ac:dyDescent="0.25">
      <c r="A2267" s="41"/>
    </row>
    <row r="2268" spans="1:1" ht="15.75" x14ac:dyDescent="0.25">
      <c r="A2268" s="41"/>
    </row>
    <row r="2269" spans="1:1" ht="15.75" x14ac:dyDescent="0.25">
      <c r="A2269" s="41"/>
    </row>
    <row r="2270" spans="1:1" ht="15.75" x14ac:dyDescent="0.25">
      <c r="A2270" s="41"/>
    </row>
    <row r="2271" spans="1:1" ht="15.75" x14ac:dyDescent="0.25">
      <c r="A2271" s="41"/>
    </row>
    <row r="2272" spans="1:1" ht="15.75" x14ac:dyDescent="0.25">
      <c r="A2272" s="41"/>
    </row>
    <row r="2273" spans="1:1" ht="15.75" x14ac:dyDescent="0.25">
      <c r="A2273" s="41"/>
    </row>
    <row r="2274" spans="1:1" ht="15.75" x14ac:dyDescent="0.25">
      <c r="A2274" s="41"/>
    </row>
    <row r="2275" spans="1:1" ht="15.75" x14ac:dyDescent="0.25">
      <c r="A2275" s="41"/>
    </row>
    <row r="2276" spans="1:1" ht="15.75" x14ac:dyDescent="0.25">
      <c r="A2276" s="41"/>
    </row>
    <row r="2277" spans="1:1" ht="15.75" x14ac:dyDescent="0.25">
      <c r="A2277" s="41"/>
    </row>
    <row r="2278" spans="1:1" ht="15.75" x14ac:dyDescent="0.25">
      <c r="A2278" s="41"/>
    </row>
    <row r="2279" spans="1:1" ht="15.75" x14ac:dyDescent="0.25">
      <c r="A2279" s="41"/>
    </row>
    <row r="2280" spans="1:1" ht="15.75" x14ac:dyDescent="0.25">
      <c r="A2280" s="41"/>
    </row>
    <row r="2281" spans="1:1" ht="15.75" x14ac:dyDescent="0.25">
      <c r="A2281" s="41"/>
    </row>
    <row r="2282" spans="1:1" ht="15.75" x14ac:dyDescent="0.25">
      <c r="A2282" s="41"/>
    </row>
    <row r="2283" spans="1:1" ht="15.75" x14ac:dyDescent="0.25">
      <c r="A2283" s="41"/>
    </row>
    <row r="2284" spans="1:1" ht="15.75" x14ac:dyDescent="0.25">
      <c r="A2284" s="41"/>
    </row>
    <row r="2285" spans="1:1" ht="15.75" x14ac:dyDescent="0.25">
      <c r="A2285" s="41"/>
    </row>
    <row r="2286" spans="1:1" ht="15.75" x14ac:dyDescent="0.25">
      <c r="A2286" s="41"/>
    </row>
    <row r="2287" spans="1:1" ht="15.75" x14ac:dyDescent="0.25">
      <c r="A2287" s="41"/>
    </row>
    <row r="2288" spans="1:1" ht="15.75" x14ac:dyDescent="0.25">
      <c r="A2288" s="41"/>
    </row>
    <row r="2289" spans="1:1" ht="15.75" x14ac:dyDescent="0.25">
      <c r="A2289" s="41"/>
    </row>
    <row r="2290" spans="1:1" ht="15.75" x14ac:dyDescent="0.25">
      <c r="A2290" s="41"/>
    </row>
    <row r="2291" spans="1:1" ht="15.75" x14ac:dyDescent="0.25">
      <c r="A2291" s="41"/>
    </row>
    <row r="2292" spans="1:1" ht="15.75" x14ac:dyDescent="0.25">
      <c r="A2292" s="41"/>
    </row>
    <row r="2293" spans="1:1" ht="15.75" x14ac:dyDescent="0.25">
      <c r="A2293" s="41"/>
    </row>
    <row r="2294" spans="1:1" ht="15.75" x14ac:dyDescent="0.25">
      <c r="A2294" s="41"/>
    </row>
    <row r="2295" spans="1:1" ht="15.75" x14ac:dyDescent="0.25">
      <c r="A2295" s="41"/>
    </row>
    <row r="2296" spans="1:1" ht="15.75" x14ac:dyDescent="0.25">
      <c r="A2296" s="41"/>
    </row>
    <row r="2297" spans="1:1" ht="15.75" x14ac:dyDescent="0.25">
      <c r="A2297" s="41"/>
    </row>
    <row r="2298" spans="1:1" ht="15.75" x14ac:dyDescent="0.25">
      <c r="A2298" s="41"/>
    </row>
    <row r="2299" spans="1:1" ht="15.75" x14ac:dyDescent="0.25">
      <c r="A2299" s="41"/>
    </row>
    <row r="2300" spans="1:1" ht="15.75" x14ac:dyDescent="0.25">
      <c r="A2300" s="41"/>
    </row>
    <row r="2301" spans="1:1" ht="15.75" x14ac:dyDescent="0.25">
      <c r="A2301" s="41"/>
    </row>
    <row r="2302" spans="1:1" ht="15.75" x14ac:dyDescent="0.25">
      <c r="A2302" s="41"/>
    </row>
    <row r="2303" spans="1:1" ht="15.75" x14ac:dyDescent="0.25">
      <c r="A2303" s="41"/>
    </row>
    <row r="2304" spans="1:1" ht="15.75" x14ac:dyDescent="0.25">
      <c r="A2304" s="41"/>
    </row>
    <row r="2305" spans="1:1" ht="15.75" x14ac:dyDescent="0.25">
      <c r="A2305" s="41"/>
    </row>
    <row r="2306" spans="1:1" ht="15.75" x14ac:dyDescent="0.25">
      <c r="A2306" s="41"/>
    </row>
    <row r="2307" spans="1:1" ht="15.75" x14ac:dyDescent="0.25">
      <c r="A2307" s="41"/>
    </row>
    <row r="2308" spans="1:1" ht="15.75" x14ac:dyDescent="0.25">
      <c r="A2308" s="41"/>
    </row>
    <row r="2309" spans="1:1" ht="15.75" x14ac:dyDescent="0.25">
      <c r="A2309" s="41"/>
    </row>
    <row r="2310" spans="1:1" ht="15.75" x14ac:dyDescent="0.25">
      <c r="A2310" s="41"/>
    </row>
    <row r="2311" spans="1:1" ht="15.75" x14ac:dyDescent="0.25">
      <c r="A2311" s="41"/>
    </row>
    <row r="2312" spans="1:1" ht="15.75" x14ac:dyDescent="0.25">
      <c r="A2312" s="41"/>
    </row>
    <row r="2313" spans="1:1" ht="15.75" x14ac:dyDescent="0.25">
      <c r="A2313" s="41"/>
    </row>
    <row r="2314" spans="1:1" ht="15.75" x14ac:dyDescent="0.25">
      <c r="A2314" s="41"/>
    </row>
    <row r="2315" spans="1:1" ht="15.75" x14ac:dyDescent="0.25">
      <c r="A2315" s="41"/>
    </row>
    <row r="2316" spans="1:1" ht="15.75" x14ac:dyDescent="0.25">
      <c r="A2316" s="41"/>
    </row>
    <row r="2317" spans="1:1" ht="15.75" x14ac:dyDescent="0.25">
      <c r="A2317" s="41"/>
    </row>
    <row r="2318" spans="1:1" ht="15.75" x14ac:dyDescent="0.25">
      <c r="A2318" s="41"/>
    </row>
    <row r="2319" spans="1:1" ht="15.75" x14ac:dyDescent="0.25">
      <c r="A2319" s="41"/>
    </row>
    <row r="2320" spans="1:1" ht="15.75" x14ac:dyDescent="0.25">
      <c r="A2320" s="41"/>
    </row>
    <row r="2321" spans="1:1" ht="15.75" x14ac:dyDescent="0.25">
      <c r="A2321" s="41"/>
    </row>
    <row r="2322" spans="1:1" ht="15.75" x14ac:dyDescent="0.25">
      <c r="A2322" s="41"/>
    </row>
    <row r="2323" spans="1:1" ht="15.75" x14ac:dyDescent="0.25">
      <c r="A2323" s="41"/>
    </row>
    <row r="2324" spans="1:1" ht="15.75" x14ac:dyDescent="0.25">
      <c r="A2324" s="41"/>
    </row>
    <row r="2325" spans="1:1" ht="15.75" x14ac:dyDescent="0.25">
      <c r="A2325" s="41"/>
    </row>
    <row r="2326" spans="1:1" ht="15.75" x14ac:dyDescent="0.25">
      <c r="A2326" s="41"/>
    </row>
    <row r="2327" spans="1:1" ht="15.75" x14ac:dyDescent="0.25">
      <c r="A2327" s="41"/>
    </row>
    <row r="2328" spans="1:1" ht="15.75" x14ac:dyDescent="0.25">
      <c r="A2328" s="41"/>
    </row>
    <row r="2329" spans="1:1" ht="15.75" x14ac:dyDescent="0.25">
      <c r="A2329" s="41"/>
    </row>
    <row r="2330" spans="1:1" ht="15.75" x14ac:dyDescent="0.25">
      <c r="A2330" s="41"/>
    </row>
    <row r="2331" spans="1:1" ht="15.75" x14ac:dyDescent="0.25">
      <c r="A2331" s="41"/>
    </row>
    <row r="2332" spans="1:1" ht="15.75" x14ac:dyDescent="0.25">
      <c r="A2332" s="41"/>
    </row>
    <row r="2333" spans="1:1" ht="15.75" x14ac:dyDescent="0.25">
      <c r="A2333" s="41"/>
    </row>
    <row r="2334" spans="1:1" ht="15.75" x14ac:dyDescent="0.25">
      <c r="A2334" s="41"/>
    </row>
    <row r="2335" spans="1:1" ht="15.75" x14ac:dyDescent="0.25">
      <c r="A2335" s="41"/>
    </row>
    <row r="2336" spans="1:1" ht="15.75" x14ac:dyDescent="0.25">
      <c r="A2336" s="41"/>
    </row>
    <row r="2337" spans="1:1" ht="15.75" x14ac:dyDescent="0.25">
      <c r="A2337" s="41"/>
    </row>
    <row r="2338" spans="1:1" ht="15.75" x14ac:dyDescent="0.25">
      <c r="A2338" s="41"/>
    </row>
    <row r="2339" spans="1:1" ht="15.75" x14ac:dyDescent="0.25">
      <c r="A2339" s="41"/>
    </row>
    <row r="2340" spans="1:1" ht="15.75" x14ac:dyDescent="0.25">
      <c r="A2340" s="41"/>
    </row>
    <row r="2341" spans="1:1" ht="15.75" x14ac:dyDescent="0.25">
      <c r="A2341" s="41"/>
    </row>
    <row r="2342" spans="1:1" ht="15.75" x14ac:dyDescent="0.25">
      <c r="A2342" s="41"/>
    </row>
    <row r="2343" spans="1:1" ht="15.75" x14ac:dyDescent="0.25">
      <c r="A2343" s="41"/>
    </row>
    <row r="2344" spans="1:1" ht="15.75" x14ac:dyDescent="0.25">
      <c r="A2344" s="41"/>
    </row>
    <row r="2345" spans="1:1" ht="15.75" x14ac:dyDescent="0.25">
      <c r="A2345" s="41"/>
    </row>
    <row r="2346" spans="1:1" ht="15.75" x14ac:dyDescent="0.25">
      <c r="A2346" s="41"/>
    </row>
    <row r="2347" spans="1:1" ht="15.75" x14ac:dyDescent="0.25">
      <c r="A2347" s="41"/>
    </row>
    <row r="2348" spans="1:1" ht="15.75" x14ac:dyDescent="0.25">
      <c r="A2348" s="41"/>
    </row>
    <row r="2349" spans="1:1" ht="15.75" x14ac:dyDescent="0.25">
      <c r="A2349" s="41"/>
    </row>
    <row r="2350" spans="1:1" ht="15.75" x14ac:dyDescent="0.25">
      <c r="A2350" s="41"/>
    </row>
    <row r="2351" spans="1:1" ht="15.75" x14ac:dyDescent="0.25">
      <c r="A2351" s="41"/>
    </row>
    <row r="2352" spans="1:1" ht="15.75" x14ac:dyDescent="0.25">
      <c r="A2352" s="41"/>
    </row>
    <row r="2353" spans="1:1" ht="15.75" x14ac:dyDescent="0.25">
      <c r="A2353" s="41"/>
    </row>
    <row r="2354" spans="1:1" ht="15.75" x14ac:dyDescent="0.25">
      <c r="A2354" s="41"/>
    </row>
    <row r="2355" spans="1:1" ht="15.75" x14ac:dyDescent="0.25">
      <c r="A2355" s="41"/>
    </row>
    <row r="2356" spans="1:1" ht="15.75" x14ac:dyDescent="0.25">
      <c r="A2356" s="41"/>
    </row>
    <row r="2357" spans="1:1" ht="15.75" x14ac:dyDescent="0.25">
      <c r="A2357" s="41"/>
    </row>
    <row r="2358" spans="1:1" ht="15.75" x14ac:dyDescent="0.25">
      <c r="A2358" s="41"/>
    </row>
    <row r="2359" spans="1:1" ht="15.75" x14ac:dyDescent="0.25">
      <c r="A2359" s="41"/>
    </row>
    <row r="2360" spans="1:1" ht="15.75" x14ac:dyDescent="0.25">
      <c r="A2360" s="41"/>
    </row>
    <row r="2361" spans="1:1" ht="15.75" x14ac:dyDescent="0.25">
      <c r="A2361" s="41"/>
    </row>
    <row r="2362" spans="1:1" ht="15.75" x14ac:dyDescent="0.25">
      <c r="A2362" s="41"/>
    </row>
    <row r="2363" spans="1:1" ht="15.75" x14ac:dyDescent="0.25">
      <c r="A2363" s="41"/>
    </row>
    <row r="2364" spans="1:1" ht="15.75" x14ac:dyDescent="0.25">
      <c r="A2364" s="41"/>
    </row>
    <row r="2365" spans="1:1" ht="15.75" x14ac:dyDescent="0.25">
      <c r="A2365" s="41"/>
    </row>
    <row r="2366" spans="1:1" ht="15.75" x14ac:dyDescent="0.25">
      <c r="A2366" s="41"/>
    </row>
    <row r="2367" spans="1:1" ht="15.75" x14ac:dyDescent="0.25">
      <c r="A2367" s="41"/>
    </row>
    <row r="2368" spans="1:1" ht="15.75" x14ac:dyDescent="0.25">
      <c r="A2368" s="41"/>
    </row>
    <row r="2369" spans="1:1" ht="15.75" x14ac:dyDescent="0.25">
      <c r="A2369" s="41"/>
    </row>
    <row r="2370" spans="1:1" ht="15.75" x14ac:dyDescent="0.25">
      <c r="A2370" s="41"/>
    </row>
    <row r="2371" spans="1:1" ht="15.75" x14ac:dyDescent="0.25">
      <c r="A2371" s="41"/>
    </row>
    <row r="2372" spans="1:1" ht="15.75" x14ac:dyDescent="0.25">
      <c r="A2372" s="41"/>
    </row>
    <row r="2373" spans="1:1" ht="15.75" x14ac:dyDescent="0.25">
      <c r="A2373" s="41"/>
    </row>
    <row r="2374" spans="1:1" ht="15.75" x14ac:dyDescent="0.25">
      <c r="A2374" s="41"/>
    </row>
    <row r="2375" spans="1:1" ht="15.75" x14ac:dyDescent="0.25">
      <c r="A2375" s="41"/>
    </row>
    <row r="2376" spans="1:1" ht="15.75" x14ac:dyDescent="0.25">
      <c r="A2376" s="41"/>
    </row>
    <row r="2377" spans="1:1" ht="15.75" x14ac:dyDescent="0.25">
      <c r="A2377" s="41"/>
    </row>
    <row r="2378" spans="1:1" ht="15.75" x14ac:dyDescent="0.25">
      <c r="A2378" s="41"/>
    </row>
    <row r="2379" spans="1:1" ht="15.75" x14ac:dyDescent="0.25">
      <c r="A2379" s="41"/>
    </row>
    <row r="2380" spans="1:1" ht="15.75" x14ac:dyDescent="0.25">
      <c r="A2380" s="41"/>
    </row>
    <row r="2381" spans="1:1" ht="15.75" x14ac:dyDescent="0.25">
      <c r="A2381" s="41"/>
    </row>
    <row r="2382" spans="1:1" ht="15.75" x14ac:dyDescent="0.25">
      <c r="A2382" s="41"/>
    </row>
    <row r="2383" spans="1:1" ht="15.75" x14ac:dyDescent="0.25">
      <c r="A2383" s="41"/>
    </row>
    <row r="2384" spans="1:1" ht="15.75" x14ac:dyDescent="0.25">
      <c r="A2384" s="41"/>
    </row>
    <row r="2385" spans="1:1" ht="15.75" x14ac:dyDescent="0.25">
      <c r="A2385" s="41"/>
    </row>
    <row r="2386" spans="1:1" ht="15.75" x14ac:dyDescent="0.25">
      <c r="A2386" s="41"/>
    </row>
    <row r="2387" spans="1:1" ht="15.75" x14ac:dyDescent="0.25">
      <c r="A2387" s="41"/>
    </row>
    <row r="2388" spans="1:1" ht="15.75" x14ac:dyDescent="0.25">
      <c r="A2388" s="41"/>
    </row>
    <row r="2389" spans="1:1" ht="15.75" x14ac:dyDescent="0.25">
      <c r="A2389" s="41"/>
    </row>
    <row r="2390" spans="1:1" ht="15.75" x14ac:dyDescent="0.25">
      <c r="A2390" s="41"/>
    </row>
    <row r="2391" spans="1:1" ht="15.75" x14ac:dyDescent="0.25">
      <c r="A2391" s="41"/>
    </row>
    <row r="2392" spans="1:1" ht="15.75" x14ac:dyDescent="0.25">
      <c r="A2392" s="41"/>
    </row>
    <row r="2393" spans="1:1" ht="15.75" x14ac:dyDescent="0.25">
      <c r="A2393" s="41"/>
    </row>
    <row r="2394" spans="1:1" ht="15.75" x14ac:dyDescent="0.25">
      <c r="A2394" s="41"/>
    </row>
    <row r="2395" spans="1:1" ht="15.75" x14ac:dyDescent="0.25">
      <c r="A2395" s="41"/>
    </row>
    <row r="2396" spans="1:1" ht="15.75" x14ac:dyDescent="0.25">
      <c r="A2396" s="41"/>
    </row>
    <row r="2397" spans="1:1" ht="15.75" x14ac:dyDescent="0.25">
      <c r="A2397" s="41"/>
    </row>
    <row r="2398" spans="1:1" ht="15.75" x14ac:dyDescent="0.25">
      <c r="A2398" s="41"/>
    </row>
    <row r="2399" spans="1:1" ht="15.75" x14ac:dyDescent="0.25">
      <c r="A2399" s="41"/>
    </row>
    <row r="2400" spans="1:1" ht="15.75" x14ac:dyDescent="0.25">
      <c r="A2400" s="41"/>
    </row>
    <row r="2401" spans="1:1" ht="15.75" x14ac:dyDescent="0.25">
      <c r="A2401" s="41"/>
    </row>
    <row r="2402" spans="1:1" ht="15.75" x14ac:dyDescent="0.25">
      <c r="A2402" s="41"/>
    </row>
    <row r="2403" spans="1:1" ht="15.75" x14ac:dyDescent="0.25">
      <c r="A2403" s="41"/>
    </row>
    <row r="2404" spans="1:1" ht="15.75" x14ac:dyDescent="0.25">
      <c r="A2404" s="41"/>
    </row>
    <row r="2405" spans="1:1" ht="15.75" x14ac:dyDescent="0.25">
      <c r="A2405" s="41"/>
    </row>
    <row r="2406" spans="1:1" ht="15.75" x14ac:dyDescent="0.25">
      <c r="A2406" s="41"/>
    </row>
    <row r="2407" spans="1:1" ht="15.75" x14ac:dyDescent="0.25">
      <c r="A2407" s="41"/>
    </row>
    <row r="2408" spans="1:1" ht="15.75" x14ac:dyDescent="0.25">
      <c r="A2408" s="41"/>
    </row>
    <row r="2409" spans="1:1" ht="15.75" x14ac:dyDescent="0.25">
      <c r="A2409" s="41"/>
    </row>
    <row r="2410" spans="1:1" ht="15.75" x14ac:dyDescent="0.25">
      <c r="A2410" s="41"/>
    </row>
    <row r="2411" spans="1:1" ht="15.75" x14ac:dyDescent="0.25">
      <c r="A2411" s="41"/>
    </row>
    <row r="2412" spans="1:1" ht="15.75" x14ac:dyDescent="0.25">
      <c r="A2412" s="41"/>
    </row>
    <row r="2413" spans="1:1" ht="15.75" x14ac:dyDescent="0.25">
      <c r="A2413" s="41"/>
    </row>
    <row r="2414" spans="1:1" ht="15.75" x14ac:dyDescent="0.25">
      <c r="A2414" s="41"/>
    </row>
    <row r="2415" spans="1:1" ht="15.75" x14ac:dyDescent="0.25">
      <c r="A2415" s="41"/>
    </row>
    <row r="2416" spans="1:1" ht="15.75" x14ac:dyDescent="0.25">
      <c r="A2416" s="41"/>
    </row>
    <row r="2417" spans="1:1" ht="15.75" x14ac:dyDescent="0.25">
      <c r="A2417" s="41"/>
    </row>
    <row r="2418" spans="1:1" ht="15.75" x14ac:dyDescent="0.25">
      <c r="A2418" s="41"/>
    </row>
    <row r="2419" spans="1:1" ht="15.75" x14ac:dyDescent="0.25">
      <c r="A2419" s="41"/>
    </row>
    <row r="2420" spans="1:1" ht="15.75" x14ac:dyDescent="0.25">
      <c r="A2420" s="41"/>
    </row>
    <row r="2421" spans="1:1" ht="15.75" x14ac:dyDescent="0.25">
      <c r="A2421" s="41"/>
    </row>
    <row r="2422" spans="1:1" ht="15.75" x14ac:dyDescent="0.25">
      <c r="A2422" s="41"/>
    </row>
    <row r="2423" spans="1:1" ht="15.75" x14ac:dyDescent="0.25">
      <c r="A2423" s="41"/>
    </row>
    <row r="2424" spans="1:1" ht="15.75" x14ac:dyDescent="0.25">
      <c r="A2424" s="41"/>
    </row>
    <row r="2425" spans="1:1" ht="15.75" x14ac:dyDescent="0.25">
      <c r="A2425" s="41"/>
    </row>
    <row r="2426" spans="1:1" ht="15.75" x14ac:dyDescent="0.25">
      <c r="A2426" s="41"/>
    </row>
    <row r="2427" spans="1:1" ht="15.75" x14ac:dyDescent="0.25">
      <c r="A2427" s="41"/>
    </row>
    <row r="2428" spans="1:1" ht="15.75" x14ac:dyDescent="0.25">
      <c r="A2428" s="41"/>
    </row>
    <row r="2429" spans="1:1" ht="15.75" x14ac:dyDescent="0.25">
      <c r="A2429" s="41"/>
    </row>
    <row r="2430" spans="1:1" ht="15.75" x14ac:dyDescent="0.25">
      <c r="A2430" s="41"/>
    </row>
    <row r="2431" spans="1:1" ht="15.75" x14ac:dyDescent="0.25">
      <c r="A2431" s="41"/>
    </row>
    <row r="2432" spans="1:1" ht="15.75" x14ac:dyDescent="0.25">
      <c r="A2432" s="41"/>
    </row>
    <row r="2433" spans="1:1" ht="15.75" x14ac:dyDescent="0.25">
      <c r="A2433" s="41"/>
    </row>
    <row r="2434" spans="1:1" ht="15.75" x14ac:dyDescent="0.25">
      <c r="A2434" s="41"/>
    </row>
    <row r="2435" spans="1:1" ht="15.75" x14ac:dyDescent="0.25">
      <c r="A2435" s="41"/>
    </row>
    <row r="2436" spans="1:1" ht="15.75" x14ac:dyDescent="0.25">
      <c r="A2436" s="41"/>
    </row>
    <row r="2437" spans="1:1" ht="15.75" x14ac:dyDescent="0.25">
      <c r="A2437" s="41"/>
    </row>
    <row r="2438" spans="1:1" ht="15.75" x14ac:dyDescent="0.25">
      <c r="A2438" s="41"/>
    </row>
    <row r="2439" spans="1:1" ht="15.75" x14ac:dyDescent="0.25">
      <c r="A2439" s="41"/>
    </row>
    <row r="2440" spans="1:1" ht="15.75" x14ac:dyDescent="0.25">
      <c r="A2440" s="41"/>
    </row>
    <row r="2441" spans="1:1" ht="15.75" x14ac:dyDescent="0.25">
      <c r="A2441" s="41"/>
    </row>
    <row r="2442" spans="1:1" ht="15.75" x14ac:dyDescent="0.25">
      <c r="A2442" s="41"/>
    </row>
    <row r="2443" spans="1:1" ht="15.75" x14ac:dyDescent="0.25">
      <c r="A2443" s="41"/>
    </row>
    <row r="2444" spans="1:1" ht="15.75" x14ac:dyDescent="0.25">
      <c r="A2444" s="41"/>
    </row>
    <row r="2445" spans="1:1" ht="15.75" x14ac:dyDescent="0.25">
      <c r="A2445" s="41"/>
    </row>
    <row r="2446" spans="1:1" ht="15.75" x14ac:dyDescent="0.25">
      <c r="A2446" s="41"/>
    </row>
    <row r="2447" spans="1:1" ht="15.75" x14ac:dyDescent="0.25">
      <c r="A2447" s="41"/>
    </row>
    <row r="2448" spans="1:1" ht="15.75" x14ac:dyDescent="0.25">
      <c r="A2448" s="41"/>
    </row>
    <row r="2449" spans="1:1" ht="15.75" x14ac:dyDescent="0.25">
      <c r="A2449" s="41"/>
    </row>
    <row r="2450" spans="1:1" ht="15.75" x14ac:dyDescent="0.25">
      <c r="A2450" s="41"/>
    </row>
    <row r="2451" spans="1:1" ht="15.75" x14ac:dyDescent="0.25">
      <c r="A2451" s="41"/>
    </row>
    <row r="2452" spans="1:1" ht="15.75" x14ac:dyDescent="0.25">
      <c r="A2452" s="41"/>
    </row>
    <row r="2453" spans="1:1" ht="15.75" x14ac:dyDescent="0.25">
      <c r="A2453" s="41"/>
    </row>
    <row r="2454" spans="1:1" ht="15.75" x14ac:dyDescent="0.25">
      <c r="A2454" s="41"/>
    </row>
    <row r="2455" spans="1:1" ht="15.75" x14ac:dyDescent="0.25">
      <c r="A2455" s="41"/>
    </row>
    <row r="2456" spans="1:1" ht="15.75" x14ac:dyDescent="0.25">
      <c r="A2456" s="41"/>
    </row>
    <row r="2457" spans="1:1" ht="15.75" x14ac:dyDescent="0.25">
      <c r="A2457" s="41"/>
    </row>
    <row r="2458" spans="1:1" ht="15.75" x14ac:dyDescent="0.25">
      <c r="A2458" s="41"/>
    </row>
    <row r="2459" spans="1:1" ht="15.75" x14ac:dyDescent="0.25">
      <c r="A2459" s="41"/>
    </row>
    <row r="2460" spans="1:1" ht="15.75" x14ac:dyDescent="0.25">
      <c r="A2460" s="41"/>
    </row>
    <row r="2461" spans="1:1" ht="15.75" x14ac:dyDescent="0.25">
      <c r="A2461" s="41"/>
    </row>
    <row r="2462" spans="1:1" ht="15.75" x14ac:dyDescent="0.25">
      <c r="A2462" s="41"/>
    </row>
    <row r="2463" spans="1:1" ht="15.75" x14ac:dyDescent="0.25">
      <c r="A2463" s="41"/>
    </row>
    <row r="2464" spans="1:1" ht="15.75" x14ac:dyDescent="0.25">
      <c r="A2464" s="41"/>
    </row>
    <row r="2465" spans="1:1" ht="15.75" x14ac:dyDescent="0.25">
      <c r="A2465" s="41"/>
    </row>
    <row r="2466" spans="1:1" ht="15.75" x14ac:dyDescent="0.25">
      <c r="A2466" s="41"/>
    </row>
    <row r="2467" spans="1:1" ht="15.75" x14ac:dyDescent="0.25">
      <c r="A2467" s="41"/>
    </row>
    <row r="2468" spans="1:1" ht="15.75" x14ac:dyDescent="0.25">
      <c r="A2468" s="41"/>
    </row>
    <row r="2469" spans="1:1" ht="15.75" x14ac:dyDescent="0.25">
      <c r="A2469" s="41"/>
    </row>
    <row r="2470" spans="1:1" ht="15.75" x14ac:dyDescent="0.25">
      <c r="A2470" s="41"/>
    </row>
    <row r="2471" spans="1:1" ht="15.75" x14ac:dyDescent="0.25">
      <c r="A2471" s="41"/>
    </row>
    <row r="2472" spans="1:1" ht="15.75" x14ac:dyDescent="0.25">
      <c r="A2472" s="41"/>
    </row>
    <row r="2473" spans="1:1" ht="15.75" x14ac:dyDescent="0.25">
      <c r="A2473" s="41"/>
    </row>
    <row r="2474" spans="1:1" ht="15.75" x14ac:dyDescent="0.25">
      <c r="A2474" s="41"/>
    </row>
    <row r="2475" spans="1:1" ht="15.75" x14ac:dyDescent="0.25">
      <c r="A2475" s="41"/>
    </row>
    <row r="2476" spans="1:1" ht="15.75" x14ac:dyDescent="0.25">
      <c r="A2476" s="41"/>
    </row>
    <row r="2477" spans="1:1" ht="15.75" x14ac:dyDescent="0.25">
      <c r="A2477" s="41"/>
    </row>
    <row r="2478" spans="1:1" ht="15.75" x14ac:dyDescent="0.25">
      <c r="A2478" s="41"/>
    </row>
    <row r="2479" spans="1:1" ht="15.75" x14ac:dyDescent="0.25">
      <c r="A2479" s="41"/>
    </row>
    <row r="2480" spans="1:1" ht="15.75" x14ac:dyDescent="0.25">
      <c r="A2480" s="41"/>
    </row>
    <row r="2481" spans="1:1" ht="15.75" x14ac:dyDescent="0.25">
      <c r="A2481" s="41"/>
    </row>
    <row r="2482" spans="1:1" ht="15.75" x14ac:dyDescent="0.25">
      <c r="A2482" s="41"/>
    </row>
    <row r="2483" spans="1:1" ht="15.75" x14ac:dyDescent="0.25">
      <c r="A2483" s="41"/>
    </row>
    <row r="2484" spans="1:1" ht="15.75" x14ac:dyDescent="0.25">
      <c r="A2484" s="41"/>
    </row>
    <row r="2485" spans="1:1" ht="15.75" x14ac:dyDescent="0.25">
      <c r="A2485" s="41"/>
    </row>
    <row r="2486" spans="1:1" ht="15.75" x14ac:dyDescent="0.25">
      <c r="A2486" s="41"/>
    </row>
    <row r="2487" spans="1:1" ht="15.75" x14ac:dyDescent="0.25">
      <c r="A2487" s="41"/>
    </row>
    <row r="2488" spans="1:1" ht="15.75" x14ac:dyDescent="0.25">
      <c r="A2488" s="41"/>
    </row>
    <row r="2489" spans="1:1" ht="15.75" x14ac:dyDescent="0.25">
      <c r="A2489" s="41"/>
    </row>
    <row r="2490" spans="1:1" ht="15.75" x14ac:dyDescent="0.25">
      <c r="A2490" s="41"/>
    </row>
    <row r="2491" spans="1:1" ht="15.75" x14ac:dyDescent="0.25">
      <c r="A2491" s="41"/>
    </row>
  </sheetData>
  <mergeCells count="34">
    <mergeCell ref="BR1:BU1"/>
    <mergeCell ref="BA2:BC2"/>
    <mergeCell ref="BG2:BI2"/>
    <mergeCell ref="AO2:AQ2"/>
    <mergeCell ref="AR1:AT1"/>
    <mergeCell ref="BM2:BO2"/>
    <mergeCell ref="BD2:BF2"/>
    <mergeCell ref="AC2:AE2"/>
    <mergeCell ref="AC1:AE1"/>
    <mergeCell ref="Z1:AB1"/>
    <mergeCell ref="Z2:AB2"/>
    <mergeCell ref="B1:M1"/>
    <mergeCell ref="E2:G2"/>
    <mergeCell ref="H2:J2"/>
    <mergeCell ref="K2:M2"/>
    <mergeCell ref="N1:P1"/>
    <mergeCell ref="Q1:S1"/>
    <mergeCell ref="N2:P2"/>
    <mergeCell ref="B2:D2"/>
    <mergeCell ref="T2:V2"/>
    <mergeCell ref="W2:Y2"/>
    <mergeCell ref="W1:Y1"/>
    <mergeCell ref="Q2:S2"/>
    <mergeCell ref="AF1:AH1"/>
    <mergeCell ref="AL1:AN1"/>
    <mergeCell ref="AO1:AQ1"/>
    <mergeCell ref="BJ2:BL2"/>
    <mergeCell ref="AU2:AW2"/>
    <mergeCell ref="AX1:AZ1"/>
    <mergeCell ref="AF2:AH2"/>
    <mergeCell ref="AL2:AN2"/>
    <mergeCell ref="AI2:AK2"/>
    <mergeCell ref="AR2:AT2"/>
    <mergeCell ref="AX2:AZ2"/>
  </mergeCells>
  <pageMargins left="0.7" right="0.7" top="0.75" bottom="0.75" header="0.3" footer="0.3"/>
  <pageSetup orientation="portrait" verticalDpi="0" r:id="rId1"/>
  <ignoredErrors>
    <ignoredError sqref="CO128 CJ128:CM128 CO104" formulaRange="1"/>
    <ignoredError sqref="CO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2026-05-02T08:59:40Z</dcterms:modified>
</cp:coreProperties>
</file>